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Высокодоходные облигации" sheetId="1" r:id="rId1"/>
  </sheets>
  <definedNames/>
  <calcPr calcId="145621"/>
  <extLst/>
</workbook>
</file>

<file path=xl/sharedStrings.xml><?xml version="1.0" encoding="utf-8"?>
<sst xmlns="http://schemas.openxmlformats.org/spreadsheetml/2006/main" count="107" uniqueCount="82">
  <si>
    <t>Портфель облигаций</t>
  </si>
  <si>
    <t>Планируемый размер портфеля</t>
  </si>
  <si>
    <t>рублей</t>
  </si>
  <si>
    <t>Текущий размер портфеля</t>
  </si>
  <si>
    <t>Суммарный денежный поток в год</t>
  </si>
  <si>
    <t>Среднемесячный денежный поток</t>
  </si>
  <si>
    <t>Купонный доход на вложенный капитал без учета налога</t>
  </si>
  <si>
    <t>Купонный доход на вложенный капитал с учетом налога</t>
  </si>
  <si>
    <t>Выплаты</t>
  </si>
  <si>
    <t>№ п.п.</t>
  </si>
  <si>
    <t>Наименование ОФЗ</t>
  </si>
  <si>
    <t>Срок погашения</t>
  </si>
  <si>
    <t>Количество дней до погашения</t>
  </si>
  <si>
    <t>Купонная доходность облигации при текущем курсе</t>
  </si>
  <si>
    <t>Доходность к погашению</t>
  </si>
  <si>
    <t>Количество облигаций</t>
  </si>
  <si>
    <t>Средняя цена покупки</t>
  </si>
  <si>
    <t>Размер позиции</t>
  </si>
  <si>
    <t>Процент относительно портфеля план</t>
  </si>
  <si>
    <t>Процент относительно порфтеля факт</t>
  </si>
  <si>
    <t>Требуемая корректировка портфеля</t>
  </si>
  <si>
    <t>Прогнозируемый денежный поток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</si>
  <si>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</si>
  <si>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</si>
  <si>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</si>
  <si>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</si>
  <si>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</si>
  <si>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</si>
  <si>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</si>
  <si>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</si>
  <si>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</si>
  <si>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</si>
  <si>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</si>
  <si>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</si>
  <si>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май</t>
  </si>
  <si>
    <t>ОФЗ 26238</t>
  </si>
  <si>
    <t>март</t>
  </si>
  <si>
    <t>ОФЗ 26230</t>
  </si>
  <si>
    <t>ОФЗ 26243</t>
  </si>
  <si>
    <t>январь</t>
  </si>
  <si>
    <t>ОФЗ 26240</t>
  </si>
  <si>
    <t>ОФЗ 26233</t>
  </si>
  <si>
    <t>ОФЗ 26225</t>
  </si>
  <si>
    <t>ОФЗ 26221</t>
  </si>
  <si>
    <t>ОФЗ 26241</t>
  </si>
  <si>
    <t>ОФЗ 26218</t>
  </si>
  <si>
    <t>ОФЗ 26239</t>
  </si>
  <si>
    <t>ОФЗ 26235</t>
  </si>
  <si>
    <t>апрель</t>
  </si>
  <si>
    <t>ОФЗ 26228</t>
  </si>
  <si>
    <t>февраль</t>
  </si>
  <si>
    <t>ОФЗ 26242</t>
  </si>
  <si>
    <t>ОФЗ 26224</t>
  </si>
  <si>
    <t>ОФЗ 26237</t>
  </si>
  <si>
    <t>ОФЗ 26236</t>
  </si>
  <si>
    <t>ОФЗ 26212</t>
  </si>
  <si>
    <t>ОФЗ 26232</t>
  </si>
  <si>
    <t>ОФЗ 26207</t>
  </si>
  <si>
    <t>ОФЗ 26226</t>
  </si>
  <si>
    <t>ОФЗ 26219</t>
  </si>
  <si>
    <t>ОФЗ 26229</t>
  </si>
  <si>
    <t>ОФЗ 26234</t>
  </si>
  <si>
    <t>ОФЗ 26222</t>
  </si>
  <si>
    <t>ОФЗ 26227</t>
  </si>
  <si>
    <t>ОФЗ 26223</t>
  </si>
  <si>
    <t>июнь</t>
  </si>
  <si>
    <t>Казахстан13</t>
  </si>
  <si>
    <t>не в рейтинге</t>
  </si>
  <si>
    <t>Реиннольц</t>
  </si>
  <si>
    <t>Энергоника</t>
  </si>
  <si>
    <t>ИТОГ:</t>
  </si>
  <si>
    <t>За вычетом налога:</t>
  </si>
  <si>
    <t>Плавающий</t>
  </si>
  <si>
    <t>ОФЗ 29010</t>
  </si>
  <si>
    <t>ОФЗ 29023</t>
  </si>
  <si>
    <t>ОФЗ 29022</t>
  </si>
  <si>
    <t>ОФЗ 29009</t>
  </si>
  <si>
    <t>ОФЗ 29018</t>
  </si>
  <si>
    <t>ОФЗ 29008</t>
  </si>
  <si>
    <t>ОФЗ 29019</t>
  </si>
  <si>
    <t>ОФЗ 29015</t>
  </si>
  <si>
    <t>ОФЗ 29007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</si>
</sst>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0%"/>
    <numFmt numFmtId="167" formatCode="DD/MM/YY"/>
    <numFmt numFmtId="168" formatCode="0%"/>
    <numFmt numFmtId="169" formatCode="#,##0.00"/>
  </numFmts>
  <fonts count="16">
    <font>
      <sz val="11"/>
      <color rgb="FF000000"/>
      <name val="Calibri"/>
      <family val="2"/>
    </font>
    <font>
      <sz val="10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sz val="10"/>
      <color rgb="FF81D41A"/>
      <name val="Arial"/>
      <family val="2"/>
    </font>
    <font>
      <b/>
      <sz val="11"/>
      <color rgb="FF000000"/>
      <name val="Calibri"/>
      <family val="2"/>
    </font>
  </fonts>
  <fills count="16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8CE"/>
        <bgColor indexed="64"/>
      </patternFill>
    </fill>
    <fill>
      <patternFill patternType="solid">
        <fgColor rgb="FFFFD7D7"/>
        <bgColor indexed="64"/>
      </patternFill>
    </fill>
    <fill>
      <patternFill patternType="solid">
        <fgColor rgb="FFDEE6E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8CB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</borders>
  <cellStyleXfs count="201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2" fillId="3" borderId="0" applyBorder="0" applyProtection="0">
      <alignment/>
    </xf>
    <xf numFmtId="164" fontId="2" fillId="3" borderId="0" applyBorder="0" applyProtection="0">
      <alignment/>
    </xf>
    <xf numFmtId="164" fontId="2" fillId="3" borderId="0" applyBorder="0" applyProtection="0">
      <alignment/>
    </xf>
    <xf numFmtId="164" fontId="2" fillId="3" borderId="0" applyBorder="0" applyProtection="0">
      <alignment/>
    </xf>
    <xf numFmtId="164" fontId="2" fillId="3" borderId="0" applyBorder="0" applyProtection="0">
      <alignment/>
    </xf>
    <xf numFmtId="164" fontId="2" fillId="3" borderId="0" applyBorder="0" applyProtection="0">
      <alignment/>
    </xf>
    <xf numFmtId="164" fontId="2" fillId="3" borderId="0" applyBorder="0" applyProtection="0">
      <alignment/>
    </xf>
    <xf numFmtId="164" fontId="2" fillId="3" borderId="0" applyBorder="0" applyProtection="0">
      <alignment/>
    </xf>
    <xf numFmtId="164" fontId="2" fillId="3" borderId="0" applyBorder="0" applyProtection="0">
      <alignment/>
    </xf>
    <xf numFmtId="164" fontId="2" fillId="3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3" fillId="4" borderId="0" applyBorder="0" applyProtection="0">
      <alignment/>
    </xf>
    <xf numFmtId="164" fontId="3" fillId="4" borderId="0" applyBorder="0" applyProtection="0">
      <alignment/>
    </xf>
    <xf numFmtId="164" fontId="3" fillId="4" borderId="0" applyBorder="0" applyProtection="0">
      <alignment/>
    </xf>
    <xf numFmtId="164" fontId="3" fillId="4" borderId="0" applyBorder="0" applyProtection="0">
      <alignment/>
    </xf>
    <xf numFmtId="164" fontId="3" fillId="4" borderId="0" applyBorder="0" applyProtection="0">
      <alignment/>
    </xf>
    <xf numFmtId="164" fontId="3" fillId="4" borderId="0" applyBorder="0" applyProtection="0">
      <alignment/>
    </xf>
    <xf numFmtId="164" fontId="3" fillId="4" borderId="0" applyBorder="0" applyProtection="0">
      <alignment/>
    </xf>
    <xf numFmtId="164" fontId="3" fillId="4" borderId="0" applyBorder="0" applyProtection="0">
      <alignment/>
    </xf>
    <xf numFmtId="164" fontId="3" fillId="4" borderId="0" applyBorder="0" applyProtection="0">
      <alignment/>
    </xf>
    <xf numFmtId="164" fontId="3" fillId="4" borderId="0" applyBorder="0" applyProtection="0">
      <alignment/>
    </xf>
    <xf numFmtId="164" fontId="4" fillId="5" borderId="0" applyBorder="0" applyProtection="0">
      <alignment/>
    </xf>
    <xf numFmtId="164" fontId="4" fillId="5" borderId="0" applyBorder="0" applyProtection="0">
      <alignment/>
    </xf>
    <xf numFmtId="164" fontId="4" fillId="5" borderId="0" applyBorder="0" applyProtection="0">
      <alignment/>
    </xf>
    <xf numFmtId="164" fontId="4" fillId="5" borderId="0" applyBorder="0" applyProtection="0">
      <alignment/>
    </xf>
    <xf numFmtId="164" fontId="4" fillId="5" borderId="0" applyBorder="0" applyProtection="0">
      <alignment/>
    </xf>
    <xf numFmtId="164" fontId="4" fillId="5" borderId="0" applyBorder="0" applyProtection="0">
      <alignment/>
    </xf>
    <xf numFmtId="164" fontId="4" fillId="5" borderId="0" applyBorder="0" applyProtection="0">
      <alignment/>
    </xf>
    <xf numFmtId="164" fontId="4" fillId="5" borderId="0" applyBorder="0" applyProtection="0">
      <alignment/>
    </xf>
    <xf numFmtId="164" fontId="4" fillId="5" borderId="0" applyBorder="0" applyProtection="0">
      <alignment/>
    </xf>
    <xf numFmtId="164" fontId="4" fillId="5" borderId="0" applyBorder="0" applyProtection="0">
      <alignment/>
    </xf>
    <xf numFmtId="164" fontId="5" fillId="6" borderId="0" applyBorder="0" applyProtection="0">
      <alignment/>
    </xf>
    <xf numFmtId="164" fontId="5" fillId="6" borderId="0" applyBorder="0" applyProtection="0">
      <alignment/>
    </xf>
    <xf numFmtId="164" fontId="5" fillId="6" borderId="0" applyBorder="0" applyProtection="0">
      <alignment/>
    </xf>
    <xf numFmtId="164" fontId="5" fillId="6" borderId="0" applyBorder="0" applyProtection="0">
      <alignment/>
    </xf>
    <xf numFmtId="164" fontId="5" fillId="6" borderId="0" applyBorder="0" applyProtection="0">
      <alignment/>
    </xf>
    <xf numFmtId="164" fontId="5" fillId="6" borderId="0" applyBorder="0" applyProtection="0">
      <alignment/>
    </xf>
    <xf numFmtId="164" fontId="5" fillId="6" borderId="0" applyBorder="0" applyProtection="0">
      <alignment/>
    </xf>
    <xf numFmtId="164" fontId="5" fillId="6" borderId="0" applyBorder="0" applyProtection="0">
      <alignment/>
    </xf>
    <xf numFmtId="164" fontId="5" fillId="6" borderId="0" applyBorder="0" applyProtection="0">
      <alignment/>
    </xf>
    <xf numFmtId="164" fontId="5" fillId="6" borderId="0" applyBorder="0" applyProtection="0">
      <alignment/>
    </xf>
    <xf numFmtId="164" fontId="6" fillId="0" borderId="0" applyBorder="0" applyProtection="0">
      <alignment/>
    </xf>
    <xf numFmtId="164" fontId="6" fillId="0" borderId="0" applyBorder="0" applyProtection="0">
      <alignment/>
    </xf>
    <xf numFmtId="164" fontId="6" fillId="0" borderId="0" applyBorder="0" applyProtection="0">
      <alignment/>
    </xf>
    <xf numFmtId="164" fontId="6" fillId="0" borderId="0" applyBorder="0" applyProtection="0">
      <alignment/>
    </xf>
    <xf numFmtId="164" fontId="6" fillId="0" borderId="0" applyBorder="0" applyProtection="0">
      <alignment/>
    </xf>
    <xf numFmtId="164" fontId="6" fillId="0" borderId="0" applyBorder="0" applyProtection="0">
      <alignment/>
    </xf>
    <xf numFmtId="164" fontId="6" fillId="0" borderId="0" applyBorder="0" applyProtection="0">
      <alignment/>
    </xf>
    <xf numFmtId="164" fontId="6" fillId="0" borderId="0" applyBorder="0" applyProtection="0">
      <alignment/>
    </xf>
    <xf numFmtId="164" fontId="6" fillId="0" borderId="0" applyBorder="0" applyProtection="0">
      <alignment/>
    </xf>
    <xf numFmtId="164" fontId="6" fillId="0" borderId="0" applyBorder="0" applyProtection="0">
      <alignment/>
    </xf>
    <xf numFmtId="164" fontId="7" fillId="7" borderId="0" applyBorder="0" applyProtection="0">
      <alignment/>
    </xf>
    <xf numFmtId="164" fontId="7" fillId="7" borderId="0" applyBorder="0" applyProtection="0">
      <alignment/>
    </xf>
    <xf numFmtId="164" fontId="7" fillId="7" borderId="0" applyBorder="0" applyProtection="0">
      <alignment/>
    </xf>
    <xf numFmtId="164" fontId="7" fillId="7" borderId="0" applyBorder="0" applyProtection="0">
      <alignment/>
    </xf>
    <xf numFmtId="164" fontId="7" fillId="7" borderId="0" applyBorder="0" applyProtection="0">
      <alignment/>
    </xf>
    <xf numFmtId="164" fontId="7" fillId="7" borderId="0" applyBorder="0" applyProtection="0">
      <alignment/>
    </xf>
    <xf numFmtId="164" fontId="7" fillId="7" borderId="0" applyBorder="0" applyProtection="0">
      <alignment/>
    </xf>
    <xf numFmtId="164" fontId="7" fillId="7" borderId="0" applyBorder="0" applyProtection="0">
      <alignment/>
    </xf>
    <xf numFmtId="164" fontId="7" fillId="7" borderId="0" applyBorder="0" applyProtection="0">
      <alignment/>
    </xf>
    <xf numFmtId="164" fontId="7" fillId="7" borderId="0" applyBorder="0" applyProtection="0">
      <alignment/>
    </xf>
    <xf numFmtId="164" fontId="8" fillId="0" borderId="0" applyBorder="0" applyProtection="0">
      <alignment/>
    </xf>
    <xf numFmtId="164" fontId="8" fillId="0" borderId="0" applyBorder="0" applyProtection="0">
      <alignment/>
    </xf>
    <xf numFmtId="164" fontId="8" fillId="0" borderId="0" applyBorder="0" applyProtection="0">
      <alignment/>
    </xf>
    <xf numFmtId="164" fontId="8" fillId="0" borderId="0" applyBorder="0" applyProtection="0">
      <alignment/>
    </xf>
    <xf numFmtId="164" fontId="8" fillId="0" borderId="0" applyBorder="0" applyProtection="0">
      <alignment/>
    </xf>
    <xf numFmtId="164" fontId="8" fillId="0" borderId="0" applyBorder="0" applyProtection="0">
      <alignment/>
    </xf>
    <xf numFmtId="164" fontId="8" fillId="0" borderId="0" applyBorder="0" applyProtection="0">
      <alignment/>
    </xf>
    <xf numFmtId="164" fontId="8" fillId="0" borderId="0" applyBorder="0" applyProtection="0">
      <alignment/>
    </xf>
    <xf numFmtId="164" fontId="8" fillId="0" borderId="0" applyBorder="0" applyProtection="0">
      <alignment/>
    </xf>
    <xf numFmtId="164" fontId="8" fillId="0" borderId="0" applyBorder="0" applyProtection="0">
      <alignment/>
    </xf>
    <xf numFmtId="164" fontId="9" fillId="0" borderId="0" applyBorder="0" applyProtection="0">
      <alignment/>
    </xf>
    <xf numFmtId="164" fontId="9" fillId="0" borderId="0" applyBorder="0" applyProtection="0">
      <alignment/>
    </xf>
    <xf numFmtId="164" fontId="9" fillId="0" borderId="0" applyBorder="0" applyProtection="0">
      <alignment/>
    </xf>
    <xf numFmtId="164" fontId="9" fillId="0" borderId="0" applyBorder="0" applyProtection="0">
      <alignment/>
    </xf>
    <xf numFmtId="164" fontId="9" fillId="0" borderId="0" applyBorder="0" applyProtection="0">
      <alignment/>
    </xf>
    <xf numFmtId="164" fontId="9" fillId="0" borderId="0" applyBorder="0" applyProtection="0">
      <alignment/>
    </xf>
    <xf numFmtId="164" fontId="9" fillId="0" borderId="0" applyBorder="0" applyProtection="0">
      <alignment/>
    </xf>
    <xf numFmtId="164" fontId="9" fillId="0" borderId="0" applyBorder="0" applyProtection="0">
      <alignment/>
    </xf>
    <xf numFmtId="164" fontId="9" fillId="0" borderId="0" applyBorder="0" applyProtection="0">
      <alignment/>
    </xf>
    <xf numFmtId="164" fontId="9" fillId="0" borderId="0" applyBorder="0" applyProtection="0">
      <alignment/>
    </xf>
    <xf numFmtId="164" fontId="10" fillId="0" borderId="0" applyBorder="0" applyProtection="0">
      <alignment/>
    </xf>
    <xf numFmtId="164" fontId="10" fillId="0" borderId="0" applyBorder="0" applyProtection="0">
      <alignment/>
    </xf>
    <xf numFmtId="164" fontId="10" fillId="0" borderId="0" applyBorder="0" applyProtection="0">
      <alignment/>
    </xf>
    <xf numFmtId="164" fontId="10" fillId="0" borderId="0" applyBorder="0" applyProtection="0">
      <alignment/>
    </xf>
    <xf numFmtId="164" fontId="10" fillId="0" borderId="0" applyBorder="0" applyProtection="0">
      <alignment/>
    </xf>
    <xf numFmtId="164" fontId="10" fillId="0" borderId="0" applyBorder="0" applyProtection="0">
      <alignment/>
    </xf>
    <xf numFmtId="164" fontId="10" fillId="0" borderId="0" applyBorder="0" applyProtection="0">
      <alignment/>
    </xf>
    <xf numFmtId="164" fontId="10" fillId="0" borderId="0" applyBorder="0" applyProtection="0">
      <alignment/>
    </xf>
    <xf numFmtId="164" fontId="10" fillId="0" borderId="0" applyBorder="0" applyProtection="0">
      <alignment/>
    </xf>
    <xf numFmtId="164" fontId="10" fillId="0" borderId="0" applyBorder="0" applyProtection="0">
      <alignment/>
    </xf>
    <xf numFmtId="164" fontId="11" fillId="8" borderId="0" applyBorder="0" applyProtection="0">
      <alignment/>
    </xf>
    <xf numFmtId="164" fontId="11" fillId="8" borderId="0" applyBorder="0" applyProtection="0">
      <alignment/>
    </xf>
    <xf numFmtId="164" fontId="11" fillId="8" borderId="0" applyBorder="0" applyProtection="0">
      <alignment/>
    </xf>
    <xf numFmtId="164" fontId="11" fillId="8" borderId="0" applyBorder="0" applyProtection="0">
      <alignment/>
    </xf>
    <xf numFmtId="164" fontId="11" fillId="8" borderId="0" applyBorder="0" applyProtection="0">
      <alignment/>
    </xf>
    <xf numFmtId="164" fontId="11" fillId="8" borderId="0" applyBorder="0" applyProtection="0">
      <alignment/>
    </xf>
    <xf numFmtId="164" fontId="11" fillId="8" borderId="0" applyBorder="0" applyProtection="0">
      <alignment/>
    </xf>
    <xf numFmtId="164" fontId="11" fillId="8" borderId="0" applyBorder="0" applyProtection="0">
      <alignment/>
    </xf>
    <xf numFmtId="164" fontId="11" fillId="8" borderId="0" applyBorder="0" applyProtection="0">
      <alignment/>
    </xf>
    <xf numFmtId="164" fontId="11" fillId="8" borderId="0" applyBorder="0" applyProtection="0">
      <alignment/>
    </xf>
    <xf numFmtId="164" fontId="12" fillId="8" borderId="1" applyProtection="0">
      <alignment/>
    </xf>
    <xf numFmtId="164" fontId="12" fillId="8" borderId="1" applyProtection="0">
      <alignment/>
    </xf>
    <xf numFmtId="164" fontId="12" fillId="8" borderId="1" applyProtection="0">
      <alignment/>
    </xf>
    <xf numFmtId="164" fontId="12" fillId="8" borderId="1" applyProtection="0">
      <alignment/>
    </xf>
    <xf numFmtId="164" fontId="12" fillId="8" borderId="1" applyProtection="0">
      <alignment/>
    </xf>
    <xf numFmtId="164" fontId="12" fillId="8" borderId="1" applyProtection="0">
      <alignment/>
    </xf>
    <xf numFmtId="164" fontId="12" fillId="8" borderId="1" applyProtection="0">
      <alignment/>
    </xf>
    <xf numFmtId="164" fontId="12" fillId="8" borderId="1" applyProtection="0">
      <alignment/>
    </xf>
    <xf numFmtId="164" fontId="12" fillId="8" borderId="1" applyProtection="0">
      <alignment/>
    </xf>
    <xf numFmtId="164" fontId="12" fillId="8" borderId="1" applyProtection="0">
      <alignment/>
    </xf>
    <xf numFmtId="164" fontId="13" fillId="0" borderId="0" applyBorder="0" applyProtection="0">
      <alignment/>
    </xf>
    <xf numFmtId="164" fontId="13" fillId="0" borderId="0" applyBorder="0" applyProtection="0">
      <alignment/>
    </xf>
    <xf numFmtId="164" fontId="13" fillId="0" borderId="0" applyBorder="0" applyProtection="0">
      <alignment/>
    </xf>
    <xf numFmtId="164" fontId="13" fillId="0" borderId="0" applyBorder="0" applyProtection="0">
      <alignment/>
    </xf>
    <xf numFmtId="164" fontId="13" fillId="0" borderId="0" applyBorder="0" applyProtection="0">
      <alignment/>
    </xf>
    <xf numFmtId="164" fontId="13" fillId="0" borderId="0" applyBorder="0" applyProtection="0">
      <alignment/>
    </xf>
    <xf numFmtId="164" fontId="13" fillId="0" borderId="0" applyBorder="0" applyProtection="0">
      <alignment/>
    </xf>
    <xf numFmtId="164" fontId="13" fillId="0" borderId="0" applyBorder="0" applyProtection="0">
      <alignment/>
    </xf>
    <xf numFmtId="164" fontId="13" fillId="0" borderId="0" applyBorder="0" applyProtection="0">
      <alignment/>
    </xf>
    <xf numFmtId="164" fontId="13" fillId="0" borderId="0" applyBorder="0" applyProtection="0">
      <alignment/>
    </xf>
    <xf numFmtId="164" fontId="13" fillId="0" borderId="0" applyBorder="0" applyProtection="0">
      <alignment/>
    </xf>
    <xf numFmtId="164" fontId="13" fillId="0" borderId="0" applyBorder="0" applyProtection="0">
      <alignment/>
    </xf>
    <xf numFmtId="164" fontId="13" fillId="0" borderId="0" applyBorder="0" applyProtection="0">
      <alignment/>
    </xf>
    <xf numFmtId="164" fontId="13" fillId="0" borderId="0" applyBorder="0" applyProtection="0">
      <alignment/>
    </xf>
    <xf numFmtId="164" fontId="13" fillId="0" borderId="0" applyBorder="0" applyProtection="0">
      <alignment/>
    </xf>
    <xf numFmtId="164" fontId="13" fillId="0" borderId="0" applyBorder="0" applyProtection="0">
      <alignment/>
    </xf>
    <xf numFmtId="164" fontId="13" fillId="0" borderId="0" applyBorder="0" applyProtection="0">
      <alignment/>
    </xf>
    <xf numFmtId="164" fontId="13" fillId="0" borderId="0" applyBorder="0" applyProtection="0">
      <alignment/>
    </xf>
    <xf numFmtId="164" fontId="13" fillId="0" borderId="0" applyBorder="0" applyProtection="0">
      <alignment/>
    </xf>
    <xf numFmtId="164" fontId="13" fillId="0" borderId="0" applyBorder="0" applyProtection="0">
      <alignment/>
    </xf>
    <xf numFmtId="164" fontId="4" fillId="0" borderId="0" applyBorder="0" applyProtection="0">
      <alignment/>
    </xf>
    <xf numFmtId="164" fontId="4" fillId="0" borderId="0" applyBorder="0" applyProtection="0">
      <alignment/>
    </xf>
    <xf numFmtId="164" fontId="4" fillId="0" borderId="0" applyBorder="0" applyProtection="0">
      <alignment/>
    </xf>
    <xf numFmtId="164" fontId="4" fillId="0" borderId="0" applyBorder="0" applyProtection="0">
      <alignment/>
    </xf>
    <xf numFmtId="164" fontId="4" fillId="0" borderId="0" applyBorder="0" applyProtection="0">
      <alignment/>
    </xf>
    <xf numFmtId="164" fontId="4" fillId="0" borderId="0" applyBorder="0" applyProtection="0">
      <alignment/>
    </xf>
    <xf numFmtId="164" fontId="4" fillId="0" borderId="0" applyBorder="0" applyProtection="0">
      <alignment/>
    </xf>
    <xf numFmtId="164" fontId="4" fillId="0" borderId="0" applyBorder="0" applyProtection="0">
      <alignment/>
    </xf>
    <xf numFmtId="164" fontId="4" fillId="0" borderId="0" applyBorder="0" applyProtection="0">
      <alignment/>
    </xf>
    <xf numFmtId="164" fontId="4" fillId="0" borderId="0" applyBorder="0" applyProtection="0">
      <alignment/>
    </xf>
    <xf numFmtId="164" fontId="2" fillId="9" borderId="0" applyBorder="0" applyProtection="0">
      <alignment/>
    </xf>
    <xf numFmtId="164" fontId="13" fillId="10" borderId="0" applyProtection="0">
      <alignment/>
    </xf>
    <xf numFmtId="164" fontId="13" fillId="11" borderId="0" applyProtection="0">
      <alignment/>
    </xf>
    <xf numFmtId="164" fontId="14" fillId="0" borderId="0" applyBorder="0" applyProtection="0">
      <alignment/>
    </xf>
    <xf numFmtId="164" fontId="14" fillId="0" borderId="0" applyBorder="0" applyProtection="0">
      <alignment/>
    </xf>
    <xf numFmtId="164" fontId="13" fillId="0" borderId="0" applyBorder="0" applyProtection="0">
      <alignment/>
    </xf>
    <xf numFmtId="164" fontId="13" fillId="0" borderId="0">
      <alignment/>
      <protection hidden="1"/>
    </xf>
  </cellStyleXfs>
  <cellXfs count="52">
    <xf numFmtId="164" fontId="0" fillId="0" borderId="0" xfId="0" applyAlignment="1" applyProtection="1">
      <alignment/>
      <protection hidden="1"/>
    </xf>
    <xf numFmtId="164" fontId="13" fillId="0" borderId="0" xfId="200" applyAlignment="1" applyProtection="1">
      <alignment/>
      <protection hidden="1"/>
    </xf>
    <xf numFmtId="164" fontId="15" fillId="0" borderId="0" xfId="200" applyFont="1" applyAlignment="1" applyProtection="1">
      <alignment horizontal="left" vertical="center"/>
      <protection hidden="1"/>
    </xf>
    <xf numFmtId="164" fontId="13" fillId="0" borderId="0" xfId="200" applyAlignment="1" applyProtection="1">
      <alignment horizontal="left" vertical="center"/>
      <protection hidden="1"/>
    </xf>
    <xf numFmtId="164" fontId="0" fillId="0" borderId="0" xfId="200" applyFont="1" applyBorder="1" applyAlignment="1" applyProtection="1">
      <alignment horizontal="center" vertical="center" wrapText="1"/>
      <protection hidden="1"/>
    </xf>
    <xf numFmtId="164" fontId="13" fillId="0" borderId="0" xfId="200" applyAlignment="1" applyProtection="1">
      <alignment horizontal="center" vertical="center" wrapText="1"/>
      <protection hidden="1"/>
    </xf>
    <xf numFmtId="164" fontId="13" fillId="12" borderId="0" xfId="200" applyAlignment="1" applyProtection="1">
      <alignment/>
      <protection hidden="1"/>
    </xf>
    <xf numFmtId="165" fontId="13" fillId="0" borderId="0" xfId="200" applyBorder="1" applyAlignment="1" applyProtection="1">
      <alignment horizontal="center" vertical="center"/>
      <protection hidden="1"/>
    </xf>
    <xf numFmtId="165" fontId="13" fillId="0" borderId="0" xfId="200" applyAlignment="1" applyProtection="1">
      <alignment/>
      <protection hidden="1"/>
    </xf>
    <xf numFmtId="166" fontId="13" fillId="0" borderId="0" xfId="200" applyAlignment="1" applyProtection="1">
      <alignment/>
      <protection hidden="1"/>
    </xf>
    <xf numFmtId="164" fontId="3" fillId="0" borderId="2" xfId="200" applyFont="1" applyBorder="1" applyAlignment="1" applyProtection="1">
      <alignment horizontal="center" vertical="center"/>
      <protection hidden="1"/>
    </xf>
    <xf numFmtId="164" fontId="15" fillId="0" borderId="2" xfId="200" applyFont="1" applyBorder="1" applyAlignment="1" applyProtection="1">
      <alignment horizontal="center" vertical="center" wrapText="1"/>
      <protection hidden="1"/>
    </xf>
    <xf numFmtId="164" fontId="13" fillId="0" borderId="2" xfId="200" applyFont="1" applyBorder="1" applyAlignment="1" applyProtection="1">
      <alignment horizontal="center" vertical="center"/>
      <protection hidden="1"/>
    </xf>
    <xf numFmtId="164" fontId="0" fillId="0" borderId="2" xfId="200" applyFont="1" applyBorder="1" applyAlignment="1" applyProtection="1">
      <alignment horizontal="center" vertical="center"/>
      <protection hidden="1"/>
    </xf>
    <xf numFmtId="164" fontId="0" fillId="13" borderId="2" xfId="0" applyFont="1" applyBorder="1" applyAlignment="1" applyProtection="1">
      <alignment horizontal="center" wrapText="1"/>
      <protection hidden="1"/>
    </xf>
    <xf numFmtId="167" fontId="0" fillId="13" borderId="2" xfId="0" applyFont="1" applyBorder="1" applyAlignment="1" applyProtection="1">
      <alignment horizontal="center" wrapText="1"/>
      <protection hidden="1"/>
    </xf>
    <xf numFmtId="166" fontId="0" fillId="13" borderId="2" xfId="0" applyBorder="1" applyAlignment="1" applyProtection="1">
      <alignment horizontal="center" vertical="center" wrapText="1"/>
      <protection hidden="1"/>
    </xf>
    <xf numFmtId="164" fontId="0" fillId="14" borderId="2" xfId="200" applyFont="1" applyBorder="1" applyAlignment="1" applyProtection="1">
      <alignment horizontal="center" vertical="center"/>
      <protection hidden="1"/>
    </xf>
    <xf numFmtId="168" fontId="13" fillId="14" borderId="2" xfId="200" applyBorder="1" applyAlignment="1" applyProtection="1">
      <alignment horizontal="center" vertical="center"/>
      <protection hidden="1"/>
    </xf>
    <xf numFmtId="166" fontId="13" fillId="0" borderId="2" xfId="200" applyBorder="1" applyAlignment="1" applyProtection="1">
      <alignment horizontal="center" vertical="center"/>
      <protection hidden="1"/>
    </xf>
    <xf numFmtId="165" fontId="0" fillId="13" borderId="2" xfId="200" applyFont="1" applyBorder="1" applyAlignment="1" applyProtection="1">
      <alignment horizontal="center" vertical="center"/>
      <protection hidden="1"/>
    </xf>
    <xf numFmtId="165" fontId="0" fillId="13" borderId="2" xfId="0" applyFont="1" applyBorder="1" applyAlignment="1" applyProtection="1">
      <alignment horizontal="center"/>
      <protection hidden="1"/>
    </xf>
    <xf numFmtId="164" fontId="13" fillId="13" borderId="2" xfId="200" applyFont="1" applyBorder="1" applyAlignment="1" applyProtection="1">
      <alignment horizontal="center" vertical="center"/>
      <protection hidden="1"/>
    </xf>
    <xf numFmtId="164" fontId="0" fillId="13" borderId="2" xfId="200" applyFont="1" applyBorder="1" applyAlignment="1" applyProtection="1">
      <alignment horizontal="center" vertical="center"/>
      <protection hidden="1"/>
    </xf>
    <xf numFmtId="164" fontId="0" fillId="12" borderId="2" xfId="200" applyFont="1" applyBorder="1" applyAlignment="1" applyProtection="1">
      <alignment horizontal="center" vertical="center"/>
      <protection hidden="1"/>
    </xf>
    <xf numFmtId="168" fontId="13" fillId="12" borderId="2" xfId="200" applyBorder="1" applyAlignment="1" applyProtection="1">
      <alignment horizontal="center" vertical="center"/>
      <protection hidden="1"/>
    </xf>
    <xf numFmtId="166" fontId="13" fillId="13" borderId="2" xfId="200" applyBorder="1" applyAlignment="1" applyProtection="1">
      <alignment horizontal="center" vertical="center"/>
      <protection hidden="1"/>
    </xf>
    <xf numFmtId="164" fontId="13" fillId="13" borderId="0" xfId="200" applyAlignment="1" applyProtection="1">
      <alignment/>
      <protection hidden="1"/>
    </xf>
    <xf numFmtId="164" fontId="0" fillId="13" borderId="0" xfId="0" applyAlignment="1" applyProtection="1">
      <alignment/>
      <protection hidden="1"/>
    </xf>
    <xf numFmtId="164" fontId="0" fillId="0" borderId="2" xfId="200" applyFont="1" applyBorder="1" applyAlignment="1" applyProtection="1">
      <alignment horizontal="center" vertical="center" wrapText="1"/>
      <protection hidden="1"/>
    </xf>
    <xf numFmtId="164" fontId="0" fillId="13" borderId="2" xfId="200" applyFont="1" applyBorder="1" applyAlignment="1" applyProtection="1">
      <alignment horizontal="center" vertical="center" wrapText="1"/>
      <protection hidden="1"/>
    </xf>
    <xf numFmtId="167" fontId="0" fillId="0" borderId="2" xfId="200" applyFont="1" applyBorder="1" applyAlignment="1" applyProtection="1">
      <alignment horizontal="center" vertical="center" wrapText="1"/>
      <protection hidden="1"/>
    </xf>
    <xf numFmtId="164" fontId="13" fillId="0" borderId="0" xfId="20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13" fillId="15" borderId="2" xfId="200" applyFont="1" applyBorder="1" applyAlignment="1" applyProtection="1">
      <alignment horizontal="center" vertical="center"/>
      <protection hidden="1"/>
    </xf>
    <xf numFmtId="164" fontId="0" fillId="15" borderId="2" xfId="0" applyFont="1" applyBorder="1" applyAlignment="1" applyProtection="1">
      <alignment horizontal="center" wrapText="1"/>
      <protection hidden="1"/>
    </xf>
    <xf numFmtId="166" fontId="0" fillId="15" borderId="2" xfId="0" applyBorder="1" applyAlignment="1" applyProtection="1">
      <alignment horizontal="center" vertical="center" wrapText="1"/>
      <protection hidden="1"/>
    </xf>
    <xf numFmtId="167" fontId="0" fillId="13" borderId="2" xfId="0" applyBorder="1" applyAlignment="1" applyProtection="1">
      <alignment horizontal="center" wrapText="1"/>
      <protection hidden="1"/>
    </xf>
    <xf numFmtId="164" fontId="13" fillId="0" borderId="2" xfId="200" applyFont="1" applyBorder="1" applyAlignment="1" applyProtection="1">
      <alignment/>
      <protection hidden="1"/>
    </xf>
    <xf numFmtId="164" fontId="13" fillId="13" borderId="2" xfId="200" applyFont="1" applyBorder="1" applyAlignment="1" applyProtection="1">
      <alignment/>
      <protection hidden="1"/>
    </xf>
    <xf numFmtId="164" fontId="13" fillId="15" borderId="2" xfId="200" applyFont="1" applyBorder="1" applyAlignment="1" applyProtection="1">
      <alignment/>
      <protection hidden="1"/>
    </xf>
    <xf numFmtId="164" fontId="13" fillId="0" borderId="2" xfId="200" applyFont="1" applyBorder="1" applyAlignment="1" applyProtection="1">
      <alignment horizontal="center" vertical="center" wrapText="1"/>
      <protection hidden="1"/>
    </xf>
    <xf numFmtId="164" fontId="13" fillId="13" borderId="2" xfId="0" applyFont="1" applyBorder="1" applyAlignment="1" applyProtection="1">
      <alignment horizontal="center" wrapText="1"/>
      <protection hidden="1"/>
    </xf>
    <xf numFmtId="168" fontId="13" fillId="0" borderId="2" xfId="200" applyBorder="1" applyAlignment="1" applyProtection="1">
      <alignment horizontal="center" vertical="center"/>
      <protection hidden="1"/>
    </xf>
    <xf numFmtId="166" fontId="3" fillId="0" borderId="2" xfId="200" applyFont="1" applyBorder="1" applyAlignment="1" applyProtection="1">
      <alignment horizontal="center" vertical="center"/>
      <protection hidden="1"/>
    </xf>
    <xf numFmtId="165" fontId="15" fillId="0" borderId="2" xfId="200" applyFont="1" applyBorder="1" applyAlignment="1" applyProtection="1">
      <alignment horizontal="center" vertical="center"/>
      <protection hidden="1"/>
    </xf>
    <xf numFmtId="164" fontId="13" fillId="0" borderId="3" xfId="200" applyBorder="1" applyAlignment="1" applyProtection="1">
      <alignment/>
      <protection hidden="1"/>
    </xf>
    <xf numFmtId="164" fontId="3" fillId="0" borderId="2" xfId="200" applyFont="1" applyBorder="1" applyAlignment="1" applyProtection="1">
      <alignment horizontal="center" vertical="center" wrapText="1"/>
      <protection hidden="1"/>
    </xf>
    <xf numFmtId="169" fontId="3" fillId="0" borderId="2" xfId="200" applyFont="1" applyBorder="1" applyAlignment="1" applyProtection="1">
      <alignment horizontal="center" vertical="center"/>
      <protection hidden="1"/>
    </xf>
    <xf numFmtId="164" fontId="13" fillId="0" borderId="0" xfId="200" applyFont="1" applyAlignment="1" applyProtection="1">
      <alignment horizontal="center" vertical="center"/>
      <protection hidden="1"/>
    </xf>
    <xf numFmtId="165" fontId="0" fillId="13" borderId="4" xfId="0" applyFont="1" applyBorder="1" applyAlignment="1" applyProtection="1">
      <alignment horizontal="center"/>
      <protection hidden="1"/>
    </xf>
    <xf numFmtId="165" fontId="0" fillId="13" borderId="5" xfId="0" applyFont="1" applyBorder="1" applyAlignment="1" applyProtection="1">
      <alignment horizontal="center"/>
      <protection hidden="1"/>
    </xf>
  </cellXfs>
  <cellStyles count="1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 1 14" xfId="34"/>
    <cellStyle name="Accent 1 15" xfId="35"/>
    <cellStyle name="Accent 1 16" xfId="36"/>
    <cellStyle name="Accent 1 17" xfId="37"/>
    <cellStyle name="Accent 1 18" xfId="38"/>
    <cellStyle name="Accent 1 19" xfId="39"/>
    <cellStyle name="Accent 1 20" xfId="40"/>
    <cellStyle name="Accent 1 21" xfId="41"/>
    <cellStyle name="Accent 1 22" xfId="42"/>
    <cellStyle name="Accent 1 23" xfId="43"/>
    <cellStyle name="Accent 13" xfId="44"/>
    <cellStyle name="Accent 14" xfId="45"/>
    <cellStyle name="Accent 15" xfId="46"/>
    <cellStyle name="Accent 16" xfId="47"/>
    <cellStyle name="Accent 17" xfId="48"/>
    <cellStyle name="Accent 18" xfId="49"/>
    <cellStyle name="Accent 19" xfId="50"/>
    <cellStyle name="Accent 2 15" xfId="51"/>
    <cellStyle name="Accent 2 16" xfId="52"/>
    <cellStyle name="Accent 2 17" xfId="53"/>
    <cellStyle name="Accent 2 18" xfId="54"/>
    <cellStyle name="Accent 2 19" xfId="55"/>
    <cellStyle name="Accent 2 20" xfId="56"/>
    <cellStyle name="Accent 2 21" xfId="57"/>
    <cellStyle name="Accent 2 22" xfId="58"/>
    <cellStyle name="Accent 2 23" xfId="59"/>
    <cellStyle name="Accent 2 24" xfId="60"/>
    <cellStyle name="Accent 20" xfId="61"/>
    <cellStyle name="Accent 21" xfId="62"/>
    <cellStyle name="Accent 22" xfId="63"/>
    <cellStyle name="Accent 3 16" xfId="64"/>
    <cellStyle name="Accent 3 17" xfId="65"/>
    <cellStyle name="Accent 3 18" xfId="66"/>
    <cellStyle name="Accent 3 19" xfId="67"/>
    <cellStyle name="Accent 3 20" xfId="68"/>
    <cellStyle name="Accent 3 21" xfId="69"/>
    <cellStyle name="Accent 3 22" xfId="70"/>
    <cellStyle name="Accent 3 23" xfId="71"/>
    <cellStyle name="Accent 3 24" xfId="72"/>
    <cellStyle name="Accent 3 25" xfId="73"/>
    <cellStyle name="Bad 10" xfId="74"/>
    <cellStyle name="Bad 11" xfId="75"/>
    <cellStyle name="Bad 12" xfId="76"/>
    <cellStyle name="Bad 13" xfId="77"/>
    <cellStyle name="Bad 14" xfId="78"/>
    <cellStyle name="Bad 15" xfId="79"/>
    <cellStyle name="Bad 16" xfId="80"/>
    <cellStyle name="Bad 17" xfId="81"/>
    <cellStyle name="Bad 18" xfId="82"/>
    <cellStyle name="Bad 19" xfId="83"/>
    <cellStyle name="Error 12" xfId="84"/>
    <cellStyle name="Error 13" xfId="85"/>
    <cellStyle name="Error 14" xfId="86"/>
    <cellStyle name="Error 15" xfId="87"/>
    <cellStyle name="Error 16" xfId="88"/>
    <cellStyle name="Error 17" xfId="89"/>
    <cellStyle name="Error 18" xfId="90"/>
    <cellStyle name="Error 19" xfId="91"/>
    <cellStyle name="Error 20" xfId="92"/>
    <cellStyle name="Error 21" xfId="93"/>
    <cellStyle name="Footnote 10" xfId="94"/>
    <cellStyle name="Footnote 11" xfId="95"/>
    <cellStyle name="Footnote 12" xfId="96"/>
    <cellStyle name="Footnote 13" xfId="97"/>
    <cellStyle name="Footnote 14" xfId="98"/>
    <cellStyle name="Footnote 5" xfId="99"/>
    <cellStyle name="Footnote 6" xfId="100"/>
    <cellStyle name="Footnote 7" xfId="101"/>
    <cellStyle name="Footnote 8" xfId="102"/>
    <cellStyle name="Footnote 9" xfId="103"/>
    <cellStyle name="Good 10" xfId="104"/>
    <cellStyle name="Good 11" xfId="105"/>
    <cellStyle name="Good 12" xfId="106"/>
    <cellStyle name="Good 13" xfId="107"/>
    <cellStyle name="Good 14" xfId="108"/>
    <cellStyle name="Good 15" xfId="109"/>
    <cellStyle name="Good 16" xfId="110"/>
    <cellStyle name="Good 17" xfId="111"/>
    <cellStyle name="Good 8" xfId="112"/>
    <cellStyle name="Good 9" xfId="113"/>
    <cellStyle name="Heading 1 1" xfId="114"/>
    <cellStyle name="Heading 1 10" xfId="115"/>
    <cellStyle name="Heading 1 2" xfId="116"/>
    <cellStyle name="Heading 1 3" xfId="117"/>
    <cellStyle name="Heading 1 4" xfId="118"/>
    <cellStyle name="Heading 1 5" xfId="119"/>
    <cellStyle name="Heading 1 6" xfId="120"/>
    <cellStyle name="Heading 1 7" xfId="121"/>
    <cellStyle name="Heading 1 8" xfId="122"/>
    <cellStyle name="Heading 1 9" xfId="123"/>
    <cellStyle name="Heading 2 10" xfId="124"/>
    <cellStyle name="Heading 2 11" xfId="125"/>
    <cellStyle name="Heading 2 2" xfId="126"/>
    <cellStyle name="Heading 2 3" xfId="127"/>
    <cellStyle name="Heading 2 4" xfId="128"/>
    <cellStyle name="Heading 2 5" xfId="129"/>
    <cellStyle name="Heading 2 6" xfId="130"/>
    <cellStyle name="Heading 2 7" xfId="131"/>
    <cellStyle name="Heading 2 8" xfId="132"/>
    <cellStyle name="Heading 2 9" xfId="133"/>
    <cellStyle name="Hyperlink 10" xfId="134"/>
    <cellStyle name="Hyperlink 11" xfId="135"/>
    <cellStyle name="Hyperlink 12" xfId="136"/>
    <cellStyle name="Hyperlink 13" xfId="137"/>
    <cellStyle name="Hyperlink 14" xfId="138"/>
    <cellStyle name="Hyperlink 15" xfId="139"/>
    <cellStyle name="Hyperlink 6" xfId="140"/>
    <cellStyle name="Hyperlink 7" xfId="141"/>
    <cellStyle name="Hyperlink 8" xfId="142"/>
    <cellStyle name="Hyperlink 9" xfId="143"/>
    <cellStyle name="Neutral 10" xfId="144"/>
    <cellStyle name="Neutral 11" xfId="145"/>
    <cellStyle name="Neutral 12" xfId="146"/>
    <cellStyle name="Neutral 13" xfId="147"/>
    <cellStyle name="Neutral 14" xfId="148"/>
    <cellStyle name="Neutral 15" xfId="149"/>
    <cellStyle name="Neutral 16" xfId="150"/>
    <cellStyle name="Neutral 17" xfId="151"/>
    <cellStyle name="Neutral 18" xfId="152"/>
    <cellStyle name="Neutral 9" xfId="153"/>
    <cellStyle name="Note 10" xfId="154"/>
    <cellStyle name="Note 11" xfId="155"/>
    <cellStyle name="Note 12" xfId="156"/>
    <cellStyle name="Note 13" xfId="157"/>
    <cellStyle name="Note 4" xfId="158"/>
    <cellStyle name="Note 5" xfId="159"/>
    <cellStyle name="Note 6" xfId="160"/>
    <cellStyle name="Note 7" xfId="161"/>
    <cellStyle name="Note 8" xfId="162"/>
    <cellStyle name="Note 9" xfId="163"/>
    <cellStyle name="Status 10" xfId="164"/>
    <cellStyle name="Status 11" xfId="165"/>
    <cellStyle name="Status 12" xfId="166"/>
    <cellStyle name="Status 13" xfId="167"/>
    <cellStyle name="Status 14" xfId="168"/>
    <cellStyle name="Status 15" xfId="169"/>
    <cellStyle name="Status 16" xfId="170"/>
    <cellStyle name="Status 7" xfId="171"/>
    <cellStyle name="Status 8" xfId="172"/>
    <cellStyle name="Status 9" xfId="173"/>
    <cellStyle name="Text 10" xfId="174"/>
    <cellStyle name="Text 11" xfId="175"/>
    <cellStyle name="Text 12" xfId="176"/>
    <cellStyle name="Text 3" xfId="177"/>
    <cellStyle name="Text 4" xfId="178"/>
    <cellStyle name="Text 5" xfId="179"/>
    <cellStyle name="Text 6" xfId="180"/>
    <cellStyle name="Text 7" xfId="181"/>
    <cellStyle name="Text 8" xfId="182"/>
    <cellStyle name="Text 9" xfId="183"/>
    <cellStyle name="Warning 11" xfId="184"/>
    <cellStyle name="Warning 12" xfId="185"/>
    <cellStyle name="Warning 13" xfId="186"/>
    <cellStyle name="Warning 14" xfId="187"/>
    <cellStyle name="Warning 15" xfId="188"/>
    <cellStyle name="Warning 16" xfId="189"/>
    <cellStyle name="Warning 17" xfId="190"/>
    <cellStyle name="Warning 18" xfId="191"/>
    <cellStyle name="Warning 19" xfId="192"/>
    <cellStyle name="Warning 20" xfId="193"/>
    <cellStyle name="Без имени1" xfId="194"/>
    <cellStyle name="Без имени2" xfId="195"/>
    <cellStyle name="Без имени3" xfId="196"/>
    <cellStyle name="Без имени4" xfId="197"/>
    <cellStyle name="Без имени5" xfId="198"/>
    <cellStyle name="Без имени6" xfId="199"/>
    <cellStyle name="Обычный 2" xfId="200"/>
  </cellStyles>
  <dxfs count="6">
    <dxf>
      <fill>
        <patternFill>
          <bgColor rgb="FFFCD5B5"/>
        </patternFill>
      </fill>
      <border/>
    </dxf>
    <dxf>
      <font>
        <sz val="11"/>
        <name val="Calibri"/>
        <family val="0"/>
        <color rgb="FF000000"/>
      </font>
      <border/>
    </dxf>
    <dxf>
      <font>
        <sz val="11"/>
        <name val="Calibri"/>
        <family val="0"/>
        <color rgb="FF000000"/>
      </font>
      <border/>
    </dxf>
    <dxf>
      <font>
        <sz val="11"/>
        <name val="Calibri"/>
        <family val="0"/>
        <color rgb="FF000000"/>
      </font>
      <border/>
    </dxf>
    <dxf>
      <fill>
        <patternFill>
          <bgColor rgb="FFC3D69B"/>
        </patternFill>
      </fill>
      <border/>
    </dxf>
    <dxf>
      <fill>
        <patternFill>
          <bgColor rgb="FFFDEADA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3D69B"/>
      <rgbColor rgb="00808080"/>
      <rgbColor rgb="009999FF"/>
      <rgbColor rgb="00993366"/>
      <rgbColor rgb="00FFFFCC"/>
      <rgbColor rgb="00DEE6E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1DE"/>
      <rgbColor rgb="00CCFFCC"/>
      <rgbColor rgb="00FDEADA"/>
      <rgbColor rgb="00DDE8CB"/>
      <rgbColor rgb="00FFCCCC"/>
      <rgbColor rgb="00FFD7D7"/>
      <rgbColor rgb="00FCD5B5"/>
      <rgbColor rgb="003366FF"/>
      <rgbColor rgb="0033CCCC"/>
      <rgbColor rgb="0081D41A"/>
      <rgbColor rgb="00FFD8CE"/>
      <rgbColor rgb="00FF9900"/>
      <rgbColor rgb="00FF6600"/>
      <rgbColor rgb="00666699"/>
      <rgbColor rgb="0092D050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42"/>
  <sheetViews>
    <sheetView tabSelected="1" zoomScale="75" zoomScaleNormal="75" workbookViewId="0" topLeftCell="A1">
      <selection activeCell="B31" sqref="B31"/>
    </sheetView>
  </sheetViews>
  <sheetFormatPr defaultColWidth="9.140625" defaultRowHeight="15"/>
  <cols>
    <col min="1" max="1" width="9.140625" style="1" customWidth="1"/>
    <col min="2" max="2" width="8.57421875" style="1" customWidth="1"/>
    <col min="3" max="3" width="19.28125" style="1" customWidth="1"/>
    <col min="4" max="6" width="18.57421875" style="1" customWidth="1"/>
    <col min="7" max="8" width="17.8515625" style="1" customWidth="1"/>
    <col min="9" max="10" width="13.28125" style="1" customWidth="1"/>
    <col min="11" max="11" width="14.57421875" style="1" customWidth="1"/>
    <col min="12" max="12" width="14.421875" style="1" customWidth="1"/>
    <col min="13" max="13" width="14.57421875" style="1" customWidth="1"/>
    <col min="14" max="14" width="17.57421875" style="1" customWidth="1"/>
    <col min="15" max="15" width="9.28125" style="1" customWidth="1"/>
    <col min="16" max="16" width="8.57421875" style="1" customWidth="1"/>
    <col min="17" max="18" width="9.28125" style="1" customWidth="1"/>
    <col min="19" max="19" width="8.57421875" style="1" customWidth="1"/>
    <col min="20" max="21" width="9.28125" style="1" customWidth="1"/>
    <col min="22" max="22" width="8.57421875" style="1" customWidth="1"/>
    <col min="23" max="23" width="10.00390625" style="1" customWidth="1"/>
    <col min="24" max="24" width="9.28125" style="1" customWidth="1"/>
    <col min="25" max="25" width="8.57421875" style="1" customWidth="1"/>
    <col min="26" max="26" width="9.28125" style="1" customWidth="1"/>
    <col min="27" max="1019" width="8.57421875" style="1" customWidth="1"/>
    <col min="1020" max="1025" width="11.57421875" style="0" customWidth="1"/>
  </cols>
  <sheetData>
    <row r="1" spans="1:10" ht="15">
      <c r="A1" s="2" t="s">
        <v>0</v>
      </c>
      <c r="B1" s="2"/>
      <c r="C1" s="2"/>
      <c r="D1" s="2"/>
      <c r="E1" s="2"/>
      <c r="F1" s="3"/>
      <c r="G1" s="3"/>
      <c r="I1" s="4"/>
      <c r="J1" s="5"/>
    </row>
    <row r="2" spans="1:9" ht="15">
      <c r="A2" s="1" t="s">
        <v>1</v>
      </c>
      <c r="F2" s="6">
        <v>1000000</v>
      </c>
      <c r="G2" s="1" t="s">
        <v>2</v>
      </c>
      <c r="I2" s="7"/>
    </row>
    <row r="3" spans="1:9" ht="15">
      <c r="A3" s="1" t="s">
        <v>3</v>
      </c>
      <c r="F3" s="1">
        <f>SUM(J9:J35)</f>
        <v>226040.8</v>
      </c>
      <c r="G3" s="1" t="s">
        <v>2</v>
      </c>
      <c r="I3" s="7"/>
    </row>
    <row r="4" spans="1:9" ht="15">
      <c r="A4" s="1" t="s">
        <v>4</v>
      </c>
      <c r="F4" s="8">
        <f>SUM(N9:N35)/1.13</f>
        <v>17372.3008849558</v>
      </c>
      <c r="G4" s="1" t="s">
        <v>2</v>
      </c>
      <c r="I4" s="7"/>
    </row>
    <row r="5" spans="1:9" ht="15">
      <c r="A5" s="1" t="s">
        <v>5</v>
      </c>
      <c r="F5" s="8">
        <f>F4/12</f>
        <v>1447.69174041298</v>
      </c>
      <c r="G5" s="1" t="s">
        <v>2</v>
      </c>
      <c r="I5" s="7"/>
    </row>
    <row r="6" spans="1:9" ht="15">
      <c r="A6" s="1" t="s">
        <v>6</v>
      </c>
      <c r="F6" s="9">
        <f>1.13*F4/F3</f>
        <v>0.0868458260632594</v>
      </c>
      <c r="I6" s="7"/>
    </row>
    <row r="7" spans="1:9" ht="15">
      <c r="A7" s="1" t="s">
        <v>7</v>
      </c>
      <c r="F7" s="9">
        <f>F4/F3</f>
        <v>0.076854713330318</v>
      </c>
      <c r="I7" s="7"/>
    </row>
    <row r="8" spans="1:26" ht="60">
      <c r="A8" s="10" t="s">
        <v>8</v>
      </c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1" t="s">
        <v>19</v>
      </c>
      <c r="M8" s="11" t="s">
        <v>20</v>
      </c>
      <c r="N8" s="11" t="s">
        <v>21</v>
      </c>
      <c r="O8" s="10" t="s">
        <v>22</v>
      </c>
      <c r="P8" s="10" t="s">
        <v>23</v>
      </c>
      <c r="Q8" s="10" t="s">
        <v>24</v>
      </c>
      <c r="R8" s="10" t="s">
        <v>25</v>
      </c>
      <c r="S8" s="10" t="s">
        <v>26</v>
      </c>
      <c r="T8" s="10" t="s">
        <v>27</v>
      </c>
      <c r="U8" s="10" t="s">
        <v>28</v>
      </c>
      <c r="V8" s="10" t="s">
        <v>29</v>
      </c>
      <c r="W8" s="10" t="s">
        <v>30</v>
      </c>
      <c r="X8" s="10" t="s">
        <v>31</v>
      </c>
      <c r="Y8" s="10" t="s">
        <v>32</v>
      </c>
      <c r="Z8" s="10" t="s">
        <v>33</v>
      </c>
    </row>
    <row r="9" spans="1:26" ht="13.8">
      <c r="A9" s="12" t="s">
        <v>34</v>
      </c>
      <c r="B9" s="13">
        <v>1</v>
      </c>
      <c r="C9" s="14" t="s">
        <v>35</v>
      </c>
      <c r="D9" s="15">
        <v>51636</v>
      </c>
      <c r="E9" s="14">
        <f>D9-TODAY()</f>
        <v>6449</v>
      </c>
      <c r="F9" s="16">
        <f>N9/J9</f>
        <v>0.103914402712342</v>
      </c>
      <c r="G9" s="16">
        <f>F9+365*(1000-I9)/E9/1000</f>
        <v>0.121950462566583</v>
      </c>
      <c r="H9" s="17">
        <v>10</v>
      </c>
      <c r="I9" s="17">
        <v>681.33</v>
      </c>
      <c r="J9" s="13">
        <f>I9*H9</f>
        <v>6813.3</v>
      </c>
      <c r="K9" s="18"/>
      <c r="L9" s="19">
        <f>J9/$F$3</f>
        <v>0.0301419035855474</v>
      </c>
      <c r="M9" s="19">
        <f>L9-K9</f>
        <v>0.0301419035855474</v>
      </c>
      <c r="N9" s="20">
        <f>SUM(O9:Z9)</f>
        <v>708</v>
      </c>
      <c r="O9" s="21"/>
      <c r="P9" s="21"/>
      <c r="Q9" s="21"/>
      <c r="R9" s="21"/>
      <c r="S9" s="21">
        <f>35.4*H9</f>
        <v>354</v>
      </c>
      <c r="T9" s="21"/>
      <c r="U9" s="21"/>
      <c r="V9" s="21"/>
      <c r="W9" s="21"/>
      <c r="X9" s="21"/>
      <c r="Y9" s="21">
        <f>35.4*H9</f>
        <v>354</v>
      </c>
      <c r="Z9" s="21"/>
    </row>
    <row r="10" spans="1:1024" s="27" customFormat="1" ht="15">
      <c r="A10" s="22" t="s">
        <v>36</v>
      </c>
      <c r="B10" s="23">
        <v>2</v>
      </c>
      <c r="C10" s="14" t="s">
        <v>37</v>
      </c>
      <c r="D10" s="15">
        <v>50845</v>
      </c>
      <c r="E10" s="14">
        <f>D10-TODAY()</f>
        <v>5658</v>
      </c>
      <c r="F10" s="16">
        <f>N10/J10</f>
        <v>0.103829718180343</v>
      </c>
      <c r="G10" s="16">
        <f>F10+365*(1000-I10)/E10/1000</f>
        <v>0.120635974808127</v>
      </c>
      <c r="H10" s="24">
        <v>10</v>
      </c>
      <c r="I10" s="24">
        <v>739.48</v>
      </c>
      <c r="J10" s="13">
        <f>I10*H10</f>
        <v>7394.8</v>
      </c>
      <c r="K10" s="25"/>
      <c r="L10" s="26">
        <f>J10/$F$3</f>
        <v>0.0327144480111555</v>
      </c>
      <c r="M10" s="26">
        <f>L10-K10</f>
        <v>0.0327144480111555</v>
      </c>
      <c r="N10" s="20">
        <f>SUM(O10:Z10)</f>
        <v>767.8</v>
      </c>
      <c r="O10" s="21"/>
      <c r="P10" s="21"/>
      <c r="Q10" s="21">
        <f>38.39*$H$33</f>
        <v>383.9</v>
      </c>
      <c r="R10" s="21"/>
      <c r="S10" s="21"/>
      <c r="T10" s="21"/>
      <c r="U10" s="21"/>
      <c r="V10" s="21"/>
      <c r="W10" s="21">
        <f>38.39*$H$33</f>
        <v>383.9</v>
      </c>
      <c r="X10" s="21"/>
      <c r="Y10" s="21"/>
      <c r="Z10" s="21"/>
      <c r="AMF10" s="28"/>
      <c r="AMG10" s="28"/>
      <c r="AMH10" s="28"/>
      <c r="AMI10" s="28"/>
      <c r="AMJ10" s="28"/>
    </row>
    <row r="11" spans="1:1024" s="32" customFormat="1" ht="15">
      <c r="A11" s="12" t="s">
        <v>34</v>
      </c>
      <c r="B11" s="29">
        <v>3</v>
      </c>
      <c r="C11" s="30" t="s">
        <v>38</v>
      </c>
      <c r="D11" s="31">
        <v>50544</v>
      </c>
      <c r="E11" s="14">
        <f>D11-TODAY()</f>
        <v>5357</v>
      </c>
      <c r="F11" s="16">
        <f>N11/J11</f>
        <v>0.1086</v>
      </c>
      <c r="G11" s="16">
        <f>F11+365*(1000-I11)/E11/1000</f>
        <v>0.115413515027067</v>
      </c>
      <c r="H11" s="17">
        <v>10</v>
      </c>
      <c r="I11" s="17">
        <v>900</v>
      </c>
      <c r="J11" s="13">
        <f>H11*I11</f>
        <v>9000</v>
      </c>
      <c r="K11" s="18"/>
      <c r="L11" s="19">
        <f>J11/$F$3</f>
        <v>0.0398158208606588</v>
      </c>
      <c r="M11" s="19">
        <f>L11-K11</f>
        <v>0.0398158208606588</v>
      </c>
      <c r="N11" s="20">
        <f>SUM(O11:Z11)</f>
        <v>977.4</v>
      </c>
      <c r="O11" s="12"/>
      <c r="P11" s="12"/>
      <c r="Q11" s="12"/>
      <c r="R11" s="12"/>
      <c r="S11" s="21">
        <f>48.87*H11</f>
        <v>488.7</v>
      </c>
      <c r="T11" s="12"/>
      <c r="U11" s="12"/>
      <c r="V11" s="12"/>
      <c r="W11" s="12"/>
      <c r="X11" s="12"/>
      <c r="Y11" s="21">
        <f>48.87*H11</f>
        <v>488.7</v>
      </c>
      <c r="Z11" s="12"/>
      <c r="AMF11" s="33"/>
      <c r="AMG11" s="33"/>
      <c r="AMH11" s="33"/>
      <c r="AMI11" s="33"/>
      <c r="AMJ11" s="33"/>
    </row>
    <row r="12" spans="1:26" ht="15">
      <c r="A12" s="34" t="s">
        <v>39</v>
      </c>
      <c r="B12" s="13">
        <v>4</v>
      </c>
      <c r="C12" s="35" t="s">
        <v>40</v>
      </c>
      <c r="D12" s="15">
        <v>49886</v>
      </c>
      <c r="E12" s="14">
        <f>D12-TODAY()</f>
        <v>4699</v>
      </c>
      <c r="F12" s="36">
        <f>N12/J12</f>
        <v>0.097937421074786</v>
      </c>
      <c r="G12" s="16">
        <f>F12+365*(1000-I12)/E12/1000</f>
        <v>0.120253764977744</v>
      </c>
      <c r="H12" s="17">
        <v>10</v>
      </c>
      <c r="I12" s="17">
        <v>712.7</v>
      </c>
      <c r="J12" s="13">
        <f>H12*I12</f>
        <v>7127</v>
      </c>
      <c r="K12" s="18">
        <f>100%/7</f>
        <v>0.142857142857143</v>
      </c>
      <c r="L12" s="19">
        <f>J12/$F$3</f>
        <v>0.0315297061415461</v>
      </c>
      <c r="M12" s="19">
        <f>L12-K12</f>
        <v>-0.111327436715597</v>
      </c>
      <c r="N12" s="20">
        <f>SUM(O12:Z12)</f>
        <v>698</v>
      </c>
      <c r="O12" s="21">
        <f>34.9*H12</f>
        <v>349</v>
      </c>
      <c r="P12" s="21"/>
      <c r="Q12" s="21"/>
      <c r="R12" s="21"/>
      <c r="S12" s="21"/>
      <c r="T12" s="21"/>
      <c r="U12" s="21">
        <f>34.9*H12</f>
        <v>349</v>
      </c>
      <c r="V12" s="21"/>
      <c r="W12" s="21"/>
      <c r="X12" s="21"/>
      <c r="Y12" s="21"/>
      <c r="Z12" s="21"/>
    </row>
    <row r="13" spans="1:1024" s="32" customFormat="1" ht="15">
      <c r="A13" s="12" t="s">
        <v>39</v>
      </c>
      <c r="B13" s="13">
        <v>5</v>
      </c>
      <c r="C13" s="29" t="s">
        <v>41</v>
      </c>
      <c r="D13" s="15">
        <v>49508</v>
      </c>
      <c r="E13" s="29">
        <f>D13-TODAY()</f>
        <v>4321</v>
      </c>
      <c r="F13" s="16">
        <f>N13/J13</f>
        <v>0.0912855599567879</v>
      </c>
      <c r="G13" s="16">
        <f>F13+365*(1000-I13)/E13/1000</f>
        <v>0.11945839032013</v>
      </c>
      <c r="H13" s="17">
        <v>10</v>
      </c>
      <c r="I13" s="17">
        <v>666.48</v>
      </c>
      <c r="J13" s="13">
        <f>I13*H13</f>
        <v>6664.8</v>
      </c>
      <c r="K13" s="18"/>
      <c r="L13" s="19">
        <f>J13/$F$3</f>
        <v>0.0294849425413465</v>
      </c>
      <c r="M13" s="19">
        <f>L13-K13</f>
        <v>0.0294849425413465</v>
      </c>
      <c r="N13" s="20">
        <f>SUM(O13:Z13)</f>
        <v>608.4</v>
      </c>
      <c r="O13" s="21">
        <f>30.42*H13</f>
        <v>304.2</v>
      </c>
      <c r="P13" s="12"/>
      <c r="Q13" s="12"/>
      <c r="R13" s="12"/>
      <c r="S13" s="12"/>
      <c r="T13" s="12"/>
      <c r="U13" s="21">
        <f>30.42*H13</f>
        <v>304.2</v>
      </c>
      <c r="V13" s="12"/>
      <c r="W13" s="12"/>
      <c r="X13" s="12"/>
      <c r="Y13" s="12"/>
      <c r="Z13" s="12"/>
      <c r="AMF13" s="33"/>
      <c r="AMG13" s="33"/>
      <c r="AMH13" s="33"/>
      <c r="AMI13" s="33"/>
      <c r="AMJ13" s="33"/>
    </row>
    <row r="14" spans="1:26" ht="15">
      <c r="A14" s="12" t="s">
        <v>34</v>
      </c>
      <c r="B14" s="13">
        <v>6</v>
      </c>
      <c r="C14" s="14" t="s">
        <v>42</v>
      </c>
      <c r="D14" s="37">
        <v>49074</v>
      </c>
      <c r="E14" s="14">
        <f>D14-TODAY()</f>
        <v>3887</v>
      </c>
      <c r="F14" s="16">
        <f>N14/J14</f>
        <v>0.0957476394167737</v>
      </c>
      <c r="G14" s="16">
        <f>F14+365*(1000-I14)/E14/1000</f>
        <v>0.118743484541549</v>
      </c>
      <c r="H14" s="17">
        <v>10</v>
      </c>
      <c r="I14" s="17">
        <v>755.11</v>
      </c>
      <c r="J14" s="13">
        <f>I14*H14</f>
        <v>7551.1</v>
      </c>
      <c r="K14" s="18"/>
      <c r="L14" s="19">
        <f>J14/$F$3</f>
        <v>0.0334059161001023</v>
      </c>
      <c r="M14" s="19">
        <f>L14-K14</f>
        <v>0.0334059161001023</v>
      </c>
      <c r="N14" s="20">
        <f>SUM(O14:Z14)</f>
        <v>723</v>
      </c>
      <c r="O14" s="21"/>
      <c r="P14" s="21"/>
      <c r="Q14" s="21"/>
      <c r="R14" s="21"/>
      <c r="S14" s="21">
        <f>36.15*H14</f>
        <v>361.5</v>
      </c>
      <c r="T14" s="21"/>
      <c r="U14" s="21"/>
      <c r="V14" s="21"/>
      <c r="W14" s="21"/>
      <c r="X14" s="21"/>
      <c r="Y14" s="21">
        <f>36.15*H14</f>
        <v>361.5</v>
      </c>
      <c r="Z14" s="21"/>
    </row>
    <row r="15" spans="1:26" ht="15">
      <c r="A15" s="12" t="s">
        <v>36</v>
      </c>
      <c r="B15" s="29">
        <v>7</v>
      </c>
      <c r="C15" s="14" t="s">
        <v>43</v>
      </c>
      <c r="D15" s="15">
        <v>48661</v>
      </c>
      <c r="E15" s="14">
        <f>D15-TODAY()</f>
        <v>3474</v>
      </c>
      <c r="F15" s="16">
        <f>N15/J15</f>
        <v>0.0962275974432886</v>
      </c>
      <c r="G15" s="16">
        <f>F15+365*(1000-I15)/E15/1000</f>
        <v>0.117461477696599</v>
      </c>
      <c r="H15" s="17">
        <v>10</v>
      </c>
      <c r="I15" s="17">
        <v>797.9</v>
      </c>
      <c r="J15" s="13">
        <f>I15*H15</f>
        <v>7979</v>
      </c>
      <c r="K15" s="18"/>
      <c r="L15" s="19">
        <f>J15/$F$3</f>
        <v>0.0352989371830218</v>
      </c>
      <c r="M15" s="19">
        <f>L15-K15</f>
        <v>0.0352989371830218</v>
      </c>
      <c r="N15" s="20">
        <f>SUM(O15:Z15)</f>
        <v>767.8</v>
      </c>
      <c r="O15" s="21"/>
      <c r="P15" s="21"/>
      <c r="Q15" s="21">
        <f>38.39*H15</f>
        <v>383.9</v>
      </c>
      <c r="R15" s="21"/>
      <c r="S15" s="21"/>
      <c r="T15" s="21"/>
      <c r="U15" s="21"/>
      <c r="V15" s="21"/>
      <c r="W15" s="21">
        <f>38.39*H15</f>
        <v>383.9</v>
      </c>
      <c r="X15" s="21"/>
      <c r="Y15" s="21"/>
      <c r="Z15" s="21"/>
    </row>
    <row r="16" spans="1:26" ht="15">
      <c r="A16" s="34" t="s">
        <v>34</v>
      </c>
      <c r="B16" s="13">
        <v>8</v>
      </c>
      <c r="C16" s="35" t="s">
        <v>44</v>
      </c>
      <c r="D16" s="15">
        <v>48535</v>
      </c>
      <c r="E16" s="14">
        <f>D16-TODAY()</f>
        <v>3348</v>
      </c>
      <c r="F16" s="36">
        <f>N16/J16</f>
        <v>0.106093013359612</v>
      </c>
      <c r="G16" s="16">
        <f>F16+365*(1000-I16)/E16/1000</f>
        <v>0.117759276800472</v>
      </c>
      <c r="H16" s="17">
        <v>10</v>
      </c>
      <c r="I16" s="17">
        <v>892.99</v>
      </c>
      <c r="J16" s="13">
        <f>H16*I16</f>
        <v>8929.9</v>
      </c>
      <c r="K16" s="18">
        <f>100%/7</f>
        <v>0.142857142857143</v>
      </c>
      <c r="L16" s="19">
        <f>J16/$F$3</f>
        <v>0.0395056998559552</v>
      </c>
      <c r="M16" s="19">
        <f>L16-K16</f>
        <v>-0.103351443001188</v>
      </c>
      <c r="N16" s="20">
        <f>SUM(O16:Z16)</f>
        <v>947.4</v>
      </c>
      <c r="O16" s="21"/>
      <c r="P16" s="21"/>
      <c r="Q16" s="21"/>
      <c r="R16" s="21"/>
      <c r="S16" s="21">
        <f>H16*47.37</f>
        <v>473.7</v>
      </c>
      <c r="T16" s="21"/>
      <c r="U16" s="21"/>
      <c r="V16" s="21"/>
      <c r="W16" s="21"/>
      <c r="X16" s="21"/>
      <c r="Y16" s="21">
        <f>H16*47.37</f>
        <v>473.7</v>
      </c>
      <c r="Z16" s="21"/>
    </row>
    <row r="17" spans="1:26" ht="15">
      <c r="A17" s="34" t="s">
        <v>36</v>
      </c>
      <c r="B17" s="13">
        <v>9</v>
      </c>
      <c r="C17" s="35" t="s">
        <v>45</v>
      </c>
      <c r="D17" s="37">
        <v>48108</v>
      </c>
      <c r="E17" s="14">
        <f>D17-TODAY()</f>
        <v>2921</v>
      </c>
      <c r="F17" s="36">
        <f>N17/J17</f>
        <v>0.0988627748294162</v>
      </c>
      <c r="G17" s="16">
        <f>F17+365*(1000-I17)/E17/1000</f>
        <v>0.116687920327533</v>
      </c>
      <c r="H17" s="17">
        <v>10</v>
      </c>
      <c r="I17" s="17">
        <v>857.35</v>
      </c>
      <c r="J17" s="13">
        <f>H17*I17</f>
        <v>8573.5</v>
      </c>
      <c r="K17" s="18">
        <f>100%/7</f>
        <v>0.142857142857143</v>
      </c>
      <c r="L17" s="19">
        <f>J17/$F$3</f>
        <v>0.0379289933498731</v>
      </c>
      <c r="M17" s="19">
        <f>L17-K17</f>
        <v>-0.10492814950727</v>
      </c>
      <c r="N17" s="20">
        <f>SUM(O17:Z17)</f>
        <v>847.6</v>
      </c>
      <c r="O17" s="21"/>
      <c r="P17" s="21"/>
      <c r="Q17" s="21">
        <f>42.38*H17</f>
        <v>423.8</v>
      </c>
      <c r="R17" s="21"/>
      <c r="S17" s="21"/>
      <c r="T17" s="21"/>
      <c r="U17" s="21"/>
      <c r="V17" s="21"/>
      <c r="W17" s="21">
        <f>42.38*H17</f>
        <v>423.8</v>
      </c>
      <c r="X17" s="21"/>
      <c r="Y17" s="21"/>
      <c r="Z17" s="21"/>
    </row>
    <row r="18" spans="1:26" ht="15">
      <c r="A18" s="38" t="s">
        <v>39</v>
      </c>
      <c r="B18" s="13">
        <v>10</v>
      </c>
      <c r="C18" s="14" t="s">
        <v>46</v>
      </c>
      <c r="D18" s="37">
        <v>48052</v>
      </c>
      <c r="E18" s="14">
        <f>D18-TODAY()</f>
        <v>2865</v>
      </c>
      <c r="F18" s="16">
        <f>N18/J18</f>
        <v>0.0887381695334863</v>
      </c>
      <c r="G18" s="16">
        <f>F18+365*(1000-I18)/E18/1000</f>
        <v>0.117334295187937</v>
      </c>
      <c r="H18" s="17">
        <v>10</v>
      </c>
      <c r="I18" s="17">
        <v>775.54</v>
      </c>
      <c r="J18" s="13">
        <f>H18*I18</f>
        <v>7755.4</v>
      </c>
      <c r="K18" s="18"/>
      <c r="L18" s="19">
        <f>J18/$F$3</f>
        <v>0.0343097352336392</v>
      </c>
      <c r="M18" s="19">
        <f>L18-K18</f>
        <v>0.0343097352336392</v>
      </c>
      <c r="N18" s="20">
        <f>SUM(O18:Z18)</f>
        <v>688.2</v>
      </c>
      <c r="O18" s="21">
        <f>34.41*H18</f>
        <v>344.1</v>
      </c>
      <c r="P18" s="12"/>
      <c r="Q18" s="12"/>
      <c r="R18" s="12"/>
      <c r="S18" s="12"/>
      <c r="T18" s="12"/>
      <c r="U18" s="21">
        <f>34.41*H18</f>
        <v>344.1</v>
      </c>
      <c r="V18" s="12"/>
      <c r="W18" s="12"/>
      <c r="X18" s="12"/>
      <c r="Y18" s="12"/>
      <c r="Z18" s="12"/>
    </row>
    <row r="19" spans="1:26" ht="15">
      <c r="A19" s="39" t="s">
        <v>36</v>
      </c>
      <c r="B19" s="29">
        <v>11</v>
      </c>
      <c r="C19" s="14" t="s">
        <v>47</v>
      </c>
      <c r="D19" s="37">
        <v>47919</v>
      </c>
      <c r="E19" s="14">
        <f>D19-TODAY()</f>
        <v>2732</v>
      </c>
      <c r="F19" s="16">
        <f>N19/J19</f>
        <v>0.0801190183714138</v>
      </c>
      <c r="G19" s="16">
        <f>F19+365*(1000-I19)/E19/1000</f>
        <v>0.11583611207566</v>
      </c>
      <c r="H19" s="17">
        <v>10</v>
      </c>
      <c r="I19" s="17">
        <v>732.66</v>
      </c>
      <c r="J19" s="13">
        <f>H19*I19</f>
        <v>7326.6</v>
      </c>
      <c r="K19" s="18"/>
      <c r="L19" s="19">
        <f>J19/$F$3</f>
        <v>0.0324127325686336</v>
      </c>
      <c r="M19" s="19">
        <f>L19-K19</f>
        <v>0.0324127325686336</v>
      </c>
      <c r="N19" s="20">
        <f>SUM(O19:Z19)</f>
        <v>587</v>
      </c>
      <c r="O19" s="21"/>
      <c r="P19" s="21"/>
      <c r="Q19" s="21">
        <f>29.35*H19</f>
        <v>293.5</v>
      </c>
      <c r="R19" s="21"/>
      <c r="S19" s="21"/>
      <c r="T19" s="21"/>
      <c r="U19" s="21"/>
      <c r="V19" s="21"/>
      <c r="W19" s="21">
        <f>29.35*H19</f>
        <v>293.5</v>
      </c>
      <c r="X19" s="21"/>
      <c r="Y19" s="21"/>
      <c r="Z19" s="21"/>
    </row>
    <row r="20" spans="1:26" ht="15">
      <c r="A20" s="39" t="s">
        <v>48</v>
      </c>
      <c r="B20" s="13">
        <v>12</v>
      </c>
      <c r="C20" s="14" t="s">
        <v>49</v>
      </c>
      <c r="D20" s="37">
        <v>47583</v>
      </c>
      <c r="E20" s="14">
        <f>D20-TODAY()</f>
        <v>2396</v>
      </c>
      <c r="F20" s="16">
        <f>N20/J20</f>
        <v>0.0918513524900986</v>
      </c>
      <c r="G20" s="16">
        <f>F20+365*(1000-I20)/E20/1000</f>
        <v>0.117643568683755</v>
      </c>
      <c r="H20" s="17">
        <v>10</v>
      </c>
      <c r="I20" s="17">
        <v>830.69</v>
      </c>
      <c r="J20" s="13">
        <f>H20*I20</f>
        <v>8306.9</v>
      </c>
      <c r="K20" s="18"/>
      <c r="L20" s="19">
        <f>J20/$F$3</f>
        <v>0.0367495602563785</v>
      </c>
      <c r="M20" s="19">
        <f>L20-K20</f>
        <v>0.0367495602563785</v>
      </c>
      <c r="N20" s="20">
        <f>SUM(O20:Z20)</f>
        <v>763</v>
      </c>
      <c r="O20" s="21"/>
      <c r="P20" s="21"/>
      <c r="Q20" s="21"/>
      <c r="R20" s="21">
        <f>38.15*H20</f>
        <v>381.5</v>
      </c>
      <c r="S20" s="21"/>
      <c r="T20" s="21"/>
      <c r="U20" s="21"/>
      <c r="V20" s="21"/>
      <c r="W20" s="21"/>
      <c r="X20" s="21">
        <f>38.15*H20</f>
        <v>381.5</v>
      </c>
      <c r="Y20" s="21"/>
      <c r="Z20" s="21"/>
    </row>
    <row r="21" spans="1:26" ht="15">
      <c r="A21" s="40" t="s">
        <v>50</v>
      </c>
      <c r="B21" s="13">
        <v>13</v>
      </c>
      <c r="C21" s="35" t="s">
        <v>51</v>
      </c>
      <c r="D21" s="37">
        <v>47359</v>
      </c>
      <c r="E21" s="14">
        <f>D21-TODAY()</f>
        <v>2172</v>
      </c>
      <c r="F21" s="36">
        <f>N21/J21</f>
        <v>0.0996433372962523</v>
      </c>
      <c r="G21" s="16">
        <f>F21+365*(1000-I21)/E21/1000</f>
        <v>0.116446445031059</v>
      </c>
      <c r="H21" s="17">
        <v>10</v>
      </c>
      <c r="I21" s="17">
        <v>900.01</v>
      </c>
      <c r="J21" s="13">
        <f>H21*I21</f>
        <v>9000.1</v>
      </c>
      <c r="K21" s="18">
        <f>100%/7</f>
        <v>0.142857142857143</v>
      </c>
      <c r="L21" s="19">
        <f>J21/$F$3</f>
        <v>0.0398162632586683</v>
      </c>
      <c r="M21" s="19">
        <f>L21-K21</f>
        <v>-0.103040879598474</v>
      </c>
      <c r="N21" s="20">
        <f>SUM(O21:Z21)</f>
        <v>896.8</v>
      </c>
      <c r="O21" s="21"/>
      <c r="P21" s="21">
        <f>44.88*H21</f>
        <v>448.8</v>
      </c>
      <c r="Q21" s="21"/>
      <c r="R21" s="21"/>
      <c r="S21" s="21"/>
      <c r="T21" s="21"/>
      <c r="U21" s="21"/>
      <c r="V21" s="21">
        <f>44.8*H21</f>
        <v>448</v>
      </c>
      <c r="W21" s="21"/>
      <c r="X21" s="21"/>
      <c r="Y21" s="21"/>
      <c r="Z21" s="21"/>
    </row>
    <row r="22" spans="1:26" ht="15">
      <c r="A22" s="39" t="s">
        <v>34</v>
      </c>
      <c r="B22" s="13">
        <v>14</v>
      </c>
      <c r="C22" s="14" t="s">
        <v>52</v>
      </c>
      <c r="D22" s="37">
        <v>47261</v>
      </c>
      <c r="E22" s="14">
        <f>D22-TODAY()</f>
        <v>2074</v>
      </c>
      <c r="F22" s="16">
        <f>N22/J22</f>
        <v>0.0842772995015858</v>
      </c>
      <c r="G22" s="16">
        <f>F22+365*(1000-I22)/E22/1000</f>
        <v>0.116555337110072</v>
      </c>
      <c r="H22" s="17">
        <v>10</v>
      </c>
      <c r="I22" s="17">
        <v>816.59</v>
      </c>
      <c r="J22" s="13">
        <f>H22*I22</f>
        <v>8165.9</v>
      </c>
      <c r="K22" s="18"/>
      <c r="L22" s="19">
        <f>J22/$F$3</f>
        <v>0.0361257790628948</v>
      </c>
      <c r="M22" s="19">
        <f>L22-K22</f>
        <v>0.0361257790628948</v>
      </c>
      <c r="N22" s="20">
        <f>SUM(O22:Z22)</f>
        <v>688.2</v>
      </c>
      <c r="O22" s="21"/>
      <c r="P22" s="21"/>
      <c r="Q22" s="21"/>
      <c r="R22" s="21"/>
      <c r="S22" s="21">
        <f>H22*34.41</f>
        <v>344.1</v>
      </c>
      <c r="T22" s="21"/>
      <c r="U22" s="21"/>
      <c r="V22" s="21"/>
      <c r="W22" s="21"/>
      <c r="X22" s="21"/>
      <c r="Y22" s="21">
        <f>H22*34.41</f>
        <v>344.1</v>
      </c>
      <c r="Z22" s="21"/>
    </row>
    <row r="23" spans="1:26" ht="15">
      <c r="A23" s="39" t="s">
        <v>36</v>
      </c>
      <c r="B23" s="29">
        <v>15</v>
      </c>
      <c r="C23" s="14" t="s">
        <v>53</v>
      </c>
      <c r="D23" s="37">
        <v>47191</v>
      </c>
      <c r="E23" s="14">
        <f>D23-TODAY()</f>
        <v>2004</v>
      </c>
      <c r="F23" s="16">
        <f>N23/J23</f>
        <v>0.082328154454616</v>
      </c>
      <c r="G23" s="16">
        <f>F23+365*(1000-I23)/E23/1000</f>
        <v>0.116637061640245</v>
      </c>
      <c r="H23" s="17">
        <v>10</v>
      </c>
      <c r="I23" s="17">
        <v>811.63</v>
      </c>
      <c r="J23" s="13">
        <f>H23*I23</f>
        <v>8116.3</v>
      </c>
      <c r="K23" s="18"/>
      <c r="L23" s="19">
        <f>J23/$F$3</f>
        <v>0.0359063496501517</v>
      </c>
      <c r="M23" s="19">
        <f>L23-K23</f>
        <v>0.0359063496501517</v>
      </c>
      <c r="N23" s="20">
        <f>SUM(O23:Z23)</f>
        <v>668.2</v>
      </c>
      <c r="O23" s="21"/>
      <c r="P23" s="21"/>
      <c r="Q23" s="21">
        <f>33.41*H23</f>
        <v>334.1</v>
      </c>
      <c r="R23" s="21"/>
      <c r="S23" s="21"/>
      <c r="T23" s="21"/>
      <c r="U23" s="21"/>
      <c r="V23" s="21"/>
      <c r="W23" s="21">
        <f>33.41*H23</f>
        <v>334.1</v>
      </c>
      <c r="X23" s="21"/>
      <c r="Y23" s="21"/>
      <c r="Z23" s="21"/>
    </row>
    <row r="24" spans="1:26" ht="15">
      <c r="A24" s="39" t="s">
        <v>34</v>
      </c>
      <c r="B24" s="13">
        <v>16</v>
      </c>
      <c r="C24" s="14" t="s">
        <v>54</v>
      </c>
      <c r="D24" s="37">
        <v>46890</v>
      </c>
      <c r="E24" s="14">
        <f>D24-TODAY()</f>
        <v>1703</v>
      </c>
      <c r="F24" s="16">
        <f>N24/J24</f>
        <v>0.071223607543387</v>
      </c>
      <c r="G24" s="16">
        <f>F24+365*(1000-I24)/E24/1000</f>
        <v>0.114507077889834</v>
      </c>
      <c r="H24" s="17">
        <v>10</v>
      </c>
      <c r="I24" s="17">
        <v>798.05</v>
      </c>
      <c r="J24" s="13">
        <f>H24*I24</f>
        <v>7980.5</v>
      </c>
      <c r="K24" s="18"/>
      <c r="L24" s="19">
        <f>J24/$F$3</f>
        <v>0.0353055731531653</v>
      </c>
      <c r="M24" s="19">
        <f>L24-K24</f>
        <v>0.0353055731531653</v>
      </c>
      <c r="N24" s="20">
        <f>SUM(O24:Z24)</f>
        <v>568.4</v>
      </c>
      <c r="O24" s="21"/>
      <c r="P24" s="21"/>
      <c r="Q24" s="21"/>
      <c r="R24" s="21"/>
      <c r="S24" s="21">
        <f>H24*28.42</f>
        <v>284.2</v>
      </c>
      <c r="T24" s="21"/>
      <c r="U24" s="21"/>
      <c r="V24" s="21"/>
      <c r="W24" s="21"/>
      <c r="X24" s="21"/>
      <c r="Y24" s="21">
        <f>H24*28.42</f>
        <v>284.2</v>
      </c>
      <c r="Z24" s="21"/>
    </row>
    <row r="25" spans="1:26" ht="15">
      <c r="A25" s="39" t="s">
        <v>39</v>
      </c>
      <c r="B25" s="13">
        <v>17</v>
      </c>
      <c r="C25" s="14" t="s">
        <v>55</v>
      </c>
      <c r="D25" s="37">
        <v>46771</v>
      </c>
      <c r="E25" s="14">
        <f>D25-TODAY()</f>
        <v>1584</v>
      </c>
      <c r="F25" s="16">
        <f>N25/J25</f>
        <v>0.0824324007410708</v>
      </c>
      <c r="G25" s="16">
        <f>F25+365*(1000-I25)/E25/1000</f>
        <v>0.116346984074404</v>
      </c>
      <c r="H25" s="17">
        <v>10</v>
      </c>
      <c r="I25" s="17">
        <v>852.82</v>
      </c>
      <c r="J25" s="13">
        <f>H25*I25</f>
        <v>8528.2</v>
      </c>
      <c r="K25" s="18"/>
      <c r="L25" s="19">
        <f>J25/$F$3</f>
        <v>0.0377285870515411</v>
      </c>
      <c r="M25" s="19">
        <f>L25-K25</f>
        <v>0.0377285870515411</v>
      </c>
      <c r="N25" s="20">
        <f>SUM(O25:Z25)</f>
        <v>703</v>
      </c>
      <c r="O25" s="21">
        <f>35.15*H25</f>
        <v>351.5</v>
      </c>
      <c r="P25" s="12"/>
      <c r="Q25" s="12"/>
      <c r="R25" s="12"/>
      <c r="S25" s="12"/>
      <c r="T25" s="12"/>
      <c r="U25" s="21">
        <f>35.15*H25</f>
        <v>351.5</v>
      </c>
      <c r="V25" s="12"/>
      <c r="W25" s="12"/>
      <c r="X25" s="12"/>
      <c r="Y25" s="12"/>
      <c r="Z25" s="12"/>
    </row>
    <row r="26" spans="1:26" ht="15">
      <c r="A26" s="39" t="s">
        <v>48</v>
      </c>
      <c r="B26" s="13"/>
      <c r="C26" s="14" t="s">
        <v>56</v>
      </c>
      <c r="D26" s="37">
        <v>46666</v>
      </c>
      <c r="E26" s="14">
        <f>D26-TODAY()</f>
        <v>1479</v>
      </c>
      <c r="F26" s="16">
        <f>N26/J26</f>
        <v>0.0723098302217389</v>
      </c>
      <c r="G26" s="16">
        <f>F26+365*(1000-I26)/E26/1000</f>
        <v>0.11486848471802</v>
      </c>
      <c r="H26" s="17">
        <v>10</v>
      </c>
      <c r="I26" s="17">
        <v>827.55</v>
      </c>
      <c r="J26" s="13">
        <f>H26*I26</f>
        <v>8275.5</v>
      </c>
      <c r="K26" s="18"/>
      <c r="L26" s="19">
        <f>J26/$F$3</f>
        <v>0.0366106472813758</v>
      </c>
      <c r="M26" s="19">
        <f>L26-K26</f>
        <v>0.0366106472813758</v>
      </c>
      <c r="N26" s="20">
        <f>SUM(O26:Z26)</f>
        <v>598.4</v>
      </c>
      <c r="O26" s="21"/>
      <c r="P26" s="12"/>
      <c r="Q26" s="12"/>
      <c r="R26" s="21">
        <f>29.92*H26</f>
        <v>299.2</v>
      </c>
      <c r="S26" s="12"/>
      <c r="T26" s="12"/>
      <c r="U26" s="21"/>
      <c r="V26" s="12"/>
      <c r="W26" s="12"/>
      <c r="X26" s="21">
        <f>29.92*H26</f>
        <v>299.2</v>
      </c>
      <c r="Y26" s="12"/>
      <c r="Z26" s="12"/>
    </row>
    <row r="27" spans="1:26" ht="15">
      <c r="A27" s="39" t="s">
        <v>50</v>
      </c>
      <c r="B27" s="13">
        <v>18</v>
      </c>
      <c r="C27" s="35" t="s">
        <v>57</v>
      </c>
      <c r="D27" s="37">
        <v>46421</v>
      </c>
      <c r="E27" s="14">
        <f>D27-TODAY()</f>
        <v>1234</v>
      </c>
      <c r="F27" s="36">
        <f>N27/J27</f>
        <v>0.089328497637103</v>
      </c>
      <c r="G27" s="16">
        <f>F27+365*(1000-I27)/E27/1000</f>
        <v>0.115978821786212</v>
      </c>
      <c r="H27" s="17">
        <v>10</v>
      </c>
      <c r="I27" s="17">
        <v>909.9</v>
      </c>
      <c r="J27" s="13">
        <f>H27*I27</f>
        <v>9099</v>
      </c>
      <c r="K27" s="18">
        <f>100%/7</f>
        <v>0.142857142857143</v>
      </c>
      <c r="L27" s="19">
        <f>J27/$F$3</f>
        <v>0.040253794890126</v>
      </c>
      <c r="M27" s="19">
        <f>L27-K27</f>
        <v>-0.102603347967017</v>
      </c>
      <c r="N27" s="20">
        <f>SUM(O27:Z27)</f>
        <v>812.8</v>
      </c>
      <c r="O27" s="21"/>
      <c r="P27" s="21">
        <f>40.64*H27</f>
        <v>406.4</v>
      </c>
      <c r="Q27" s="21"/>
      <c r="R27" s="21"/>
      <c r="S27" s="21"/>
      <c r="T27" s="21"/>
      <c r="U27" s="21"/>
      <c r="V27" s="21">
        <f>40.64*H27</f>
        <v>406.4</v>
      </c>
      <c r="W27" s="21"/>
      <c r="X27" s="21"/>
      <c r="Y27" s="21"/>
      <c r="Z27" s="21"/>
    </row>
    <row r="28" spans="1:26" ht="15">
      <c r="A28" s="40" t="s">
        <v>48</v>
      </c>
      <c r="B28" s="29">
        <v>19</v>
      </c>
      <c r="C28" s="35" t="s">
        <v>58</v>
      </c>
      <c r="D28" s="37">
        <v>46302</v>
      </c>
      <c r="E28" s="14">
        <f>D28-TODAY()</f>
        <v>1115</v>
      </c>
      <c r="F28" s="36">
        <f>N28/J28</f>
        <v>0.0871208791208791</v>
      </c>
      <c r="G28" s="16">
        <f>F28+365*(1000-I28)/E28/1000</f>
        <v>0.116582762528951</v>
      </c>
      <c r="H28" s="17">
        <v>10</v>
      </c>
      <c r="I28" s="17">
        <v>910</v>
      </c>
      <c r="J28" s="13">
        <f>H28*I28</f>
        <v>9100</v>
      </c>
      <c r="K28" s="18">
        <f>100%/7</f>
        <v>0.142857142857143</v>
      </c>
      <c r="L28" s="19">
        <f>J28/$F$3</f>
        <v>0.0402582188702217</v>
      </c>
      <c r="M28" s="19">
        <f>L28-K28</f>
        <v>-0.102598923986921</v>
      </c>
      <c r="N28" s="20">
        <f>SUM(O28:Z28)</f>
        <v>792.8</v>
      </c>
      <c r="O28" s="21"/>
      <c r="P28" s="21"/>
      <c r="Q28" s="21"/>
      <c r="R28" s="21">
        <f>39.64*H28</f>
        <v>396.4</v>
      </c>
      <c r="S28" s="21"/>
      <c r="T28" s="21"/>
      <c r="U28" s="21"/>
      <c r="V28" s="21"/>
      <c r="W28" s="21"/>
      <c r="X28" s="21">
        <f>39.64*H28</f>
        <v>396.4</v>
      </c>
      <c r="Y28" s="21"/>
      <c r="Z28" s="21"/>
    </row>
    <row r="29" spans="1:26" ht="15">
      <c r="A29" s="39" t="s">
        <v>36</v>
      </c>
      <c r="B29" s="13">
        <v>20</v>
      </c>
      <c r="C29" s="14" t="s">
        <v>59</v>
      </c>
      <c r="D29" s="37">
        <v>46281</v>
      </c>
      <c r="E29" s="14">
        <f>D29-TODAY()</f>
        <v>1094</v>
      </c>
      <c r="F29" s="16">
        <f>N29/J29</f>
        <v>0.0850015398829689</v>
      </c>
      <c r="G29" s="16">
        <f>F29+365*(1000-I29)/E29/1000</f>
        <v>0.115309218127941</v>
      </c>
      <c r="H29" s="17">
        <v>10</v>
      </c>
      <c r="I29" s="17">
        <v>909.16</v>
      </c>
      <c r="J29" s="13">
        <f>H29*I29</f>
        <v>9091.6</v>
      </c>
      <c r="K29" s="18"/>
      <c r="L29" s="19">
        <f>J29/$F$3</f>
        <v>0.0402210574374184</v>
      </c>
      <c r="M29" s="19">
        <f>L29-K29</f>
        <v>0.0402210574374184</v>
      </c>
      <c r="N29" s="20">
        <f>SUM(O29:Z29)</f>
        <v>772.8</v>
      </c>
      <c r="O29" s="21"/>
      <c r="P29" s="21"/>
      <c r="Q29" s="21">
        <f>38.64*H29</f>
        <v>386.4</v>
      </c>
      <c r="R29" s="21"/>
      <c r="S29" s="21"/>
      <c r="T29" s="21"/>
      <c r="U29" s="21"/>
      <c r="V29" s="21"/>
      <c r="W29" s="21">
        <f>38.64*H29</f>
        <v>386.4</v>
      </c>
      <c r="X29" s="21"/>
      <c r="Y29" s="21"/>
      <c r="Z29" s="21"/>
    </row>
    <row r="30" spans="1:26" ht="15">
      <c r="A30" s="39" t="s">
        <v>34</v>
      </c>
      <c r="B30" s="13">
        <v>22</v>
      </c>
      <c r="C30" s="14" t="s">
        <v>60</v>
      </c>
      <c r="D30" s="37">
        <v>45973</v>
      </c>
      <c r="E30" s="14">
        <f>D30-TODAY()</f>
        <v>786</v>
      </c>
      <c r="F30" s="16">
        <f>N30/J30</f>
        <v>0.077368872296322</v>
      </c>
      <c r="G30" s="16">
        <f>F30+365*(1000-I30)/E30/1000</f>
        <v>0.113854940998612</v>
      </c>
      <c r="H30" s="17">
        <v>10</v>
      </c>
      <c r="I30" s="17">
        <v>921.43</v>
      </c>
      <c r="J30" s="13">
        <f>H30*I30</f>
        <v>9214.3</v>
      </c>
      <c r="K30" s="18"/>
      <c r="L30" s="19">
        <f>J30/$F$3</f>
        <v>0.040763879795152</v>
      </c>
      <c r="M30" s="19">
        <f>L30-K30</f>
        <v>0.040763879795152</v>
      </c>
      <c r="N30" s="20">
        <f>SUM(O30:Z30)</f>
        <v>712.9</v>
      </c>
      <c r="O30" s="21"/>
      <c r="P30" s="21"/>
      <c r="Q30" s="21"/>
      <c r="R30" s="21"/>
      <c r="S30" s="21">
        <f>H30*35.64</f>
        <v>356.4</v>
      </c>
      <c r="T30" s="21"/>
      <c r="U30" s="21"/>
      <c r="V30" s="21"/>
      <c r="W30" s="21"/>
      <c r="X30" s="21"/>
      <c r="Y30" s="21">
        <f>H30*35.65</f>
        <v>356.5</v>
      </c>
      <c r="Z30" s="21"/>
    </row>
    <row r="31" spans="1:26" ht="15">
      <c r="A31" s="39" t="s">
        <v>39</v>
      </c>
      <c r="B31" s="29">
        <v>23</v>
      </c>
      <c r="C31" s="14" t="s">
        <v>61</v>
      </c>
      <c r="D31" s="37">
        <v>45854</v>
      </c>
      <c r="E31" s="14">
        <f>D31-TODAY()</f>
        <v>667</v>
      </c>
      <c r="F31" s="16">
        <f>N31/J31</f>
        <v>0.0505422480489206</v>
      </c>
      <c r="G31" s="16">
        <f>F31+365*(1000-I31)/E31/1000</f>
        <v>0.111848020162864</v>
      </c>
      <c r="H31" s="17">
        <v>10</v>
      </c>
      <c r="I31" s="17">
        <v>887.97</v>
      </c>
      <c r="J31" s="13">
        <f>H31*I31</f>
        <v>8879.7</v>
      </c>
      <c r="K31" s="18"/>
      <c r="L31" s="19">
        <f>J31/$F$3</f>
        <v>0.0392836160551546</v>
      </c>
      <c r="M31" s="19">
        <f>L31-K31</f>
        <v>0.0392836160551546</v>
      </c>
      <c r="N31" s="20">
        <f>SUM(O31:Z31)</f>
        <v>448.8</v>
      </c>
      <c r="O31" s="21">
        <f>22.44*H31</f>
        <v>224.4</v>
      </c>
      <c r="P31" s="12"/>
      <c r="Q31" s="12"/>
      <c r="R31" s="12"/>
      <c r="S31" s="12"/>
      <c r="T31" s="12"/>
      <c r="U31" s="21">
        <f>22.44*H31</f>
        <v>224.4</v>
      </c>
      <c r="V31" s="12"/>
      <c r="W31" s="12"/>
      <c r="X31" s="12"/>
      <c r="Y31" s="12"/>
      <c r="Z31" s="12"/>
    </row>
    <row r="32" spans="1:26" ht="15">
      <c r="A32" s="39" t="s">
        <v>48</v>
      </c>
      <c r="B32" s="13">
        <v>24</v>
      </c>
      <c r="C32" s="14" t="s">
        <v>62</v>
      </c>
      <c r="D32" s="37">
        <v>45581</v>
      </c>
      <c r="E32" s="14">
        <f>D32-TODAY()</f>
        <v>394</v>
      </c>
      <c r="F32" s="16">
        <f>N32/J32</f>
        <v>0.0739055095095931</v>
      </c>
      <c r="G32" s="16">
        <f>F32+365*(1000-I32)/E32/1000</f>
        <v>0.112832666869999</v>
      </c>
      <c r="H32" s="17">
        <v>10</v>
      </c>
      <c r="I32" s="17">
        <v>957.98</v>
      </c>
      <c r="J32" s="13">
        <f>H32*I32</f>
        <v>9579.8</v>
      </c>
      <c r="K32" s="18"/>
      <c r="L32" s="19">
        <f>J32/$F$3</f>
        <v>0.0423808445201043</v>
      </c>
      <c r="M32" s="19">
        <f>L32-K32</f>
        <v>0.0423808445201043</v>
      </c>
      <c r="N32" s="20">
        <f>SUM(O32:Z32)</f>
        <v>708</v>
      </c>
      <c r="O32" s="21"/>
      <c r="P32" s="21"/>
      <c r="Q32" s="21"/>
      <c r="R32" s="21">
        <f>35.4*H32</f>
        <v>354</v>
      </c>
      <c r="S32" s="21"/>
      <c r="T32" s="21"/>
      <c r="U32" s="21"/>
      <c r="V32" s="21"/>
      <c r="W32" s="21"/>
      <c r="X32" s="21">
        <f>35.4*H32</f>
        <v>354</v>
      </c>
      <c r="Y32" s="21"/>
      <c r="Z32" s="21"/>
    </row>
    <row r="33" spans="1:26" ht="15">
      <c r="A33" s="22" t="s">
        <v>39</v>
      </c>
      <c r="B33" s="13">
        <v>25</v>
      </c>
      <c r="C33" s="14" t="s">
        <v>63</v>
      </c>
      <c r="D33" s="15">
        <v>45490</v>
      </c>
      <c r="E33" s="14">
        <f>D33-TODAY()</f>
        <v>303</v>
      </c>
      <c r="F33" s="16">
        <f>N33/J33</f>
        <v>0.0762735512676085</v>
      </c>
      <c r="G33" s="16">
        <f>F33+365*(1000-I33)/E33/1000</f>
        <v>0.115339392851767</v>
      </c>
      <c r="H33" s="17">
        <v>10</v>
      </c>
      <c r="I33" s="17">
        <v>967.57</v>
      </c>
      <c r="J33" s="13">
        <f>I33*H33</f>
        <v>9675.7</v>
      </c>
      <c r="K33" s="18"/>
      <c r="L33" s="19">
        <f>J33/$F$3</f>
        <v>0.0428051042112751</v>
      </c>
      <c r="M33" s="19">
        <f>L33-K33</f>
        <v>0.0428051042112751</v>
      </c>
      <c r="N33" s="20">
        <f>SUM(O33:Z33)</f>
        <v>738</v>
      </c>
      <c r="O33" s="21">
        <f>36.9*H33</f>
        <v>369</v>
      </c>
      <c r="P33" s="21"/>
      <c r="Q33" s="21"/>
      <c r="R33" s="21"/>
      <c r="S33" s="21"/>
      <c r="T33" s="21"/>
      <c r="U33" s="21">
        <f>36.9*H33</f>
        <v>369</v>
      </c>
      <c r="V33" s="21"/>
      <c r="W33" s="21"/>
      <c r="X33" s="21"/>
      <c r="Y33" s="21"/>
      <c r="Z33" s="21"/>
    </row>
    <row r="34" spans="1:26" ht="15">
      <c r="A34" s="22" t="s">
        <v>50</v>
      </c>
      <c r="B34" s="13">
        <v>26</v>
      </c>
      <c r="C34" s="14" t="s">
        <v>64</v>
      </c>
      <c r="D34" s="15">
        <v>45350</v>
      </c>
      <c r="E34" s="14">
        <f>D34-TODAY()</f>
        <v>163</v>
      </c>
      <c r="F34" s="16">
        <f>N34/J34</f>
        <v>0.066224624281</v>
      </c>
      <c r="G34" s="16">
        <f>F34+365*(1000-I34)/E34/1000</f>
        <v>0.113719409557074</v>
      </c>
      <c r="H34" s="17">
        <v>10</v>
      </c>
      <c r="I34" s="17">
        <v>978.79</v>
      </c>
      <c r="J34" s="13">
        <f>I34*H34</f>
        <v>9787.9</v>
      </c>
      <c r="K34" s="18"/>
      <c r="L34" s="19">
        <f>J34/$F$3</f>
        <v>0.0433014747780047</v>
      </c>
      <c r="M34" s="19">
        <f>L34-K34</f>
        <v>0.0433014747780047</v>
      </c>
      <c r="N34" s="20">
        <f>SUM(O34:Z34)</f>
        <v>648.2</v>
      </c>
      <c r="O34" s="21"/>
      <c r="P34" s="21">
        <f>32.41*H34</f>
        <v>324.1</v>
      </c>
      <c r="Q34" s="21"/>
      <c r="R34" s="21"/>
      <c r="S34" s="21"/>
      <c r="T34" s="21"/>
      <c r="U34" s="21"/>
      <c r="V34" s="21">
        <f>32.41*H34</f>
        <v>324.1</v>
      </c>
      <c r="W34" s="21"/>
      <c r="X34" s="21"/>
      <c r="Y34" s="21"/>
      <c r="Z34" s="21"/>
    </row>
    <row r="35" spans="1:26" ht="15">
      <c r="A35" s="34" t="s">
        <v>65</v>
      </c>
      <c r="B35" s="29">
        <v>27</v>
      </c>
      <c r="C35" s="35" t="s">
        <v>66</v>
      </c>
      <c r="D35" s="15">
        <v>48015</v>
      </c>
      <c r="E35" s="14">
        <f>D35-TODAY()</f>
        <v>2828</v>
      </c>
      <c r="F35" s="36">
        <f>N35/J35</f>
        <v>0.0972181191531266</v>
      </c>
      <c r="G35" s="16">
        <f>F35+365*(1000-I35)/E35/1000</f>
        <v>0.121430990440255</v>
      </c>
      <c r="H35" s="17">
        <v>10</v>
      </c>
      <c r="I35" s="17">
        <v>812.4</v>
      </c>
      <c r="J35" s="13">
        <f>H35*I35</f>
        <v>8124</v>
      </c>
      <c r="K35" s="18">
        <f>100%/7</f>
        <v>0.142857142857143</v>
      </c>
      <c r="L35" s="19">
        <f>J35/$F$3</f>
        <v>0.035940414296888</v>
      </c>
      <c r="M35" s="19">
        <f>L35-K35</f>
        <v>-0.106916728560255</v>
      </c>
      <c r="N35" s="20">
        <f>SUM(O35:Z35)</f>
        <v>789.8</v>
      </c>
      <c r="O35" s="21"/>
      <c r="P35" s="21"/>
      <c r="Q35" s="21"/>
      <c r="R35" s="21"/>
      <c r="S35" s="21"/>
      <c r="T35" s="21">
        <f>39.49*H35</f>
        <v>394.9</v>
      </c>
      <c r="U35" s="21"/>
      <c r="V35" s="21"/>
      <c r="W35" s="21"/>
      <c r="X35" s="21"/>
      <c r="Y35" s="21"/>
      <c r="Z35" s="21">
        <f>39.49*H35</f>
        <v>394.9</v>
      </c>
    </row>
    <row r="36" spans="1:27" ht="25.5" hidden="1">
      <c r="A36" s="41" t="s">
        <v>67</v>
      </c>
      <c r="B36" s="13"/>
      <c r="C36" s="42" t="s">
        <v>68</v>
      </c>
      <c r="D36" s="42"/>
      <c r="E36" s="42"/>
      <c r="F36" s="16" t="e">
        <f>N36/J36</f>
        <v>#DIV/0!</v>
      </c>
      <c r="G36" s="16"/>
      <c r="H36" s="17">
        <v>0</v>
      </c>
      <c r="I36" s="17">
        <v>1086.6</v>
      </c>
      <c r="J36" s="13">
        <f>H36*I36</f>
        <v>0</v>
      </c>
      <c r="K36" s="18">
        <v>0</v>
      </c>
      <c r="L36" s="19" t="e">
        <f>J36/$D$3</f>
        <v>#DIV/0!</v>
      </c>
      <c r="M36" s="19" t="e">
        <f>K36-L36</f>
        <v>#DIV/0!</v>
      </c>
      <c r="N36" s="20">
        <f>SUM(O36:Z36)</f>
        <v>0</v>
      </c>
      <c r="O36" s="21"/>
      <c r="P36" s="21"/>
      <c r="Q36" s="21">
        <f>44.88*$H$36</f>
        <v>0</v>
      </c>
      <c r="R36" s="21"/>
      <c r="S36" s="21"/>
      <c r="T36" s="21">
        <f>44.88*$H$36</f>
        <v>0</v>
      </c>
      <c r="U36" s="21"/>
      <c r="V36" s="21"/>
      <c r="W36" s="21">
        <f>44.88*$H$36</f>
        <v>0</v>
      </c>
      <c r="X36" s="21"/>
      <c r="Y36" s="21"/>
      <c r="Z36" s="21">
        <f>44.88*$H$36</f>
        <v>0</v>
      </c>
      <c r="AA36" s="27"/>
    </row>
    <row r="37" spans="1:26" ht="25.5" hidden="1">
      <c r="A37" s="41" t="s">
        <v>67</v>
      </c>
      <c r="B37" s="13"/>
      <c r="C37" s="14" t="s">
        <v>69</v>
      </c>
      <c r="D37" s="14"/>
      <c r="E37" s="14"/>
      <c r="F37" s="16" t="e">
        <f>N37/J37</f>
        <v>#DIV/0!</v>
      </c>
      <c r="G37" s="16"/>
      <c r="H37" s="17">
        <v>0</v>
      </c>
      <c r="I37" s="17">
        <v>999</v>
      </c>
      <c r="J37" s="13">
        <f>H37*I37</f>
        <v>0</v>
      </c>
      <c r="K37" s="18">
        <v>0</v>
      </c>
      <c r="L37" s="19" t="e">
        <f>J37/$D$3</f>
        <v>#DIV/0!</v>
      </c>
      <c r="M37" s="19" t="e">
        <f>K37-L37</f>
        <v>#DIV/0!</v>
      </c>
      <c r="N37" s="20">
        <f>SUM(O37:Z37)</f>
        <v>0</v>
      </c>
      <c r="O37" s="21"/>
      <c r="P37" s="21"/>
      <c r="Q37" s="21">
        <f>32.41*$H$37</f>
        <v>0</v>
      </c>
      <c r="R37" s="21"/>
      <c r="S37" s="21"/>
      <c r="T37" s="21">
        <f>32.41*$H$37</f>
        <v>0</v>
      </c>
      <c r="U37" s="21"/>
      <c r="V37" s="21"/>
      <c r="W37" s="21">
        <f>32.41*$H$37</f>
        <v>0</v>
      </c>
      <c r="X37" s="21"/>
      <c r="Y37" s="21"/>
      <c r="Z37" s="21">
        <f>32.41*$H$37</f>
        <v>0</v>
      </c>
    </row>
    <row r="38" spans="1:26" ht="15" hidden="1">
      <c r="A38" s="41"/>
      <c r="B38" s="13"/>
      <c r="C38" s="14"/>
      <c r="D38" s="14"/>
      <c r="E38" s="14"/>
      <c r="F38" s="16"/>
      <c r="G38" s="16"/>
      <c r="H38" s="17"/>
      <c r="I38" s="17"/>
      <c r="J38" s="13"/>
      <c r="K38" s="18"/>
      <c r="L38" s="19"/>
      <c r="M38" s="19"/>
      <c r="N38" s="20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2:27" s="38" customFormat="1" ht="15">
      <c r="B39" s="13"/>
      <c r="C39" s="13"/>
      <c r="D39" s="13"/>
      <c r="E39" s="13"/>
      <c r="F39" s="13"/>
      <c r="G39" s="13"/>
      <c r="H39" s="13"/>
      <c r="I39" s="13"/>
      <c r="J39" s="13"/>
      <c r="K39" s="43"/>
      <c r="L39" s="19"/>
      <c r="M39" s="44" t="s">
        <v>70</v>
      </c>
      <c r="N39" s="45">
        <f>SUM(N9:N35)</f>
        <v>19630.7</v>
      </c>
      <c r="O39" s="45">
        <f>SUM(O9:O35)</f>
        <v>1942.2</v>
      </c>
      <c r="P39" s="45">
        <f>SUM(P9:P35)</f>
        <v>1179.3</v>
      </c>
      <c r="Q39" s="45">
        <f>SUM(Q9:Q35)</f>
        <v>2205.6</v>
      </c>
      <c r="R39" s="45">
        <f>SUM(R9:R35)</f>
        <v>1431.1</v>
      </c>
      <c r="S39" s="45">
        <f>SUM(S9:S35)</f>
        <v>2662.6</v>
      </c>
      <c r="T39" s="45">
        <f>SUM(T9:T35)</f>
        <v>394.9</v>
      </c>
      <c r="U39" s="45">
        <f>SUM(U9:U35)</f>
        <v>1942.2</v>
      </c>
      <c r="V39" s="45">
        <f>SUM(V9:V35)</f>
        <v>1178.5</v>
      </c>
      <c r="W39" s="45">
        <f>SUM(W9:W35)</f>
        <v>2205.6</v>
      </c>
      <c r="X39" s="45">
        <f>SUM(X9:X35)</f>
        <v>1431.1</v>
      </c>
      <c r="Y39" s="45">
        <f>SUM(Y9:Y35)</f>
        <v>2662.7</v>
      </c>
      <c r="Z39" s="45">
        <f>SUM(Z9:Z35)</f>
        <v>394.9</v>
      </c>
      <c r="AA39" s="46"/>
    </row>
    <row r="40" spans="1:26" ht="25.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47" t="s">
        <v>71</v>
      </c>
      <c r="N40" s="48">
        <f>N39*0.87</f>
        <v>17078.709</v>
      </c>
      <c r="O40" s="48">
        <f>O39*0.87</f>
        <v>1689.714</v>
      </c>
      <c r="P40" s="48">
        <f>P39*0.87</f>
        <v>1025.991</v>
      </c>
      <c r="Q40" s="48">
        <f>Q39*0.87</f>
        <v>1918.872</v>
      </c>
      <c r="R40" s="48">
        <f>R39*0.87</f>
        <v>1245.057</v>
      </c>
      <c r="S40" s="48">
        <f>S39*0.87</f>
        <v>2316.462</v>
      </c>
      <c r="T40" s="48">
        <f>T39*0.87</f>
        <v>343.563</v>
      </c>
      <c r="U40" s="48">
        <f>U39*0.87</f>
        <v>1689.714</v>
      </c>
      <c r="V40" s="48">
        <f>V39*0.87</f>
        <v>1025.295</v>
      </c>
      <c r="W40" s="48">
        <f>W39*0.87</f>
        <v>1918.872</v>
      </c>
      <c r="X40" s="48">
        <f>X39*0.87</f>
        <v>1245.057</v>
      </c>
      <c r="Y40" s="48">
        <f>Y39*0.87</f>
        <v>2316.549</v>
      </c>
      <c r="Z40" s="48">
        <f>Z39*0.87</f>
        <v>343.563</v>
      </c>
    </row>
    <row r="41" spans="3:26" ht="15">
      <c r="C41" s="1" t="s">
        <v>72</v>
      </c>
      <c r="D41" s="49" t="s">
        <v>73</v>
      </c>
      <c r="E41" s="49" t="s">
        <v>74</v>
      </c>
      <c r="F41" s="49" t="s">
        <v>75</v>
      </c>
      <c r="G41" s="49" t="s">
        <v>76</v>
      </c>
      <c r="H41" s="49" t="s">
        <v>77</v>
      </c>
      <c r="I41" s="49" t="s">
        <v>78</v>
      </c>
      <c r="J41" s="49" t="s">
        <v>79</v>
      </c>
      <c r="K41" s="1" t="s">
        <v>80</v>
      </c>
      <c r="L41" s="1" t="s">
        <v>81</v>
      </c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5:26" ht="15"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</sheetData>
  <conditionalFormatting sqref="M9:M38">
    <cfRule type="cellIs" priority="2" dxfId="0" operator="greaterThan">
      <formula>0.01</formula>
    </cfRule>
    <cfRule type="cellIs" priority="3" dxfId="1" operator="greaterThan">
      <formula>1</formula>
    </cfRule>
    <cfRule type="cellIs" priority="4" dxfId="1" operator="lessThanOrEqual">
      <formula>0</formula>
    </cfRule>
    <cfRule type="cellIs" priority="5" dxfId="1" operator="greaterThan">
      <formula>1%</formula>
    </cfRule>
  </conditionalFormatting>
  <conditionalFormatting sqref="F9:G38">
    <cfRule type="cellIs" priority="6" dxfId="4" operator="greaterThanOrEqual">
      <formula>0.14</formula>
    </cfRule>
    <cfRule type="cellIs" priority="7" dxfId="5" operator="between">
      <formula>0.12</formula>
      <formula>0.14</formula>
    </cfRule>
  </conditionalFormatting>
  <printOptions/>
  <pageMargins left="0.7875" right="0.7875" top="1.05277777777778" bottom="1.05277777777778" header="0.7875" footer="0.7875"/>
  <pageSetup horizontalDpi="300" verticalDpi="300" orientation="landscape" paperSize="9" copies="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Neat_Office/6.2.8.2$Windows_x86 LibreOffice_project/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Egor</dc:creator>
  <cp:keywords/>
  <dc:description/>
  <cp:lastModifiedBy/>
  <dcterms:created xsi:type="dcterms:W3CDTF">2023-08-24T05:39:39Z</dcterms:created>
  <dcterms:modified xsi:type="dcterms:W3CDTF">2023-09-18T15:32:53Z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