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20115" windowHeight="8010" activeTab="0"/>
  </bookViews>
  <sheets>
    <sheet name="Высокодоходные облигации" sheetId="4" r:id="rId1"/>
  </sheets>
  <definedNames/>
  <calcPr calcId="125725"/>
</workbook>
</file>

<file path=xl/sharedStrings.xml><?xml version="1.0" encoding="utf-8"?>
<sst xmlns="http://schemas.openxmlformats.org/spreadsheetml/2006/main" count="90" uniqueCount="78">
  <si>
    <t>Рубли</t>
  </si>
  <si>
    <t>Планируемый размер портфеля</t>
  </si>
  <si>
    <t>Текущий размер портфеля</t>
  </si>
  <si>
    <t>№ п.п.</t>
  </si>
  <si>
    <t>Сектор</t>
  </si>
  <si>
    <t>Название компании</t>
  </si>
  <si>
    <t>Тикер</t>
  </si>
  <si>
    <t>Средняя цена покупки</t>
  </si>
  <si>
    <t>Размер позиции</t>
  </si>
  <si>
    <t>Процент относительно портфеля план</t>
  </si>
  <si>
    <t>Процент относительно порфтеля факт</t>
  </si>
  <si>
    <t>Требуемая корректировка портфеля</t>
  </si>
  <si>
    <t>УрожайБО03</t>
  </si>
  <si>
    <t>КИФА</t>
  </si>
  <si>
    <t>Мосрегионлифт</t>
  </si>
  <si>
    <t>СПМК</t>
  </si>
  <si>
    <t>АГТК</t>
  </si>
  <si>
    <t xml:space="preserve"> НИКА</t>
  </si>
  <si>
    <t>ФЭСАгро</t>
  </si>
  <si>
    <t>Aсфальтобетонный завод  №1</t>
  </si>
  <si>
    <t>НПП Моторные технологии</t>
  </si>
  <si>
    <t>Электрощитстройсистема</t>
  </si>
  <si>
    <t>RU000A106J04</t>
  </si>
  <si>
    <t>RU000A106EV9</t>
  </si>
  <si>
    <t>RU000A106DJ6</t>
  </si>
  <si>
    <t>RU000A106FN3</t>
  </si>
  <si>
    <t>RU000A1065Y3</t>
  </si>
  <si>
    <t>RU000A1050X7</t>
  </si>
  <si>
    <t>RU000A106P63</t>
  </si>
  <si>
    <t>RU000A1065B1</t>
  </si>
  <si>
    <t>RU000A103U69</t>
  </si>
  <si>
    <t>RU000A101UD4</t>
  </si>
  <si>
    <t>Количество облигаций</t>
  </si>
  <si>
    <t>Прогнозируемый денежный поток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</si>
  <si>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</si>
  <si>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</si>
  <si>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</si>
  <si>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</si>
  <si>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</si>
  <si>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</si>
  <si>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</si>
  <si>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</si>
  <si>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</si>
  <si>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</si>
  <si>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</si>
  <si>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</si>
  <si>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ИТОГ:</t>
  </si>
  <si>
    <t>За вычетом налога:</t>
  </si>
  <si>
    <t>Суммарный денежный поток в год</t>
  </si>
  <si>
    <t>Среднемесячный денежный поток</t>
  </si>
  <si>
    <t>Дивидендный доход на вложенный капитал с учетом налога</t>
  </si>
  <si>
    <t>Портфель облигаций</t>
  </si>
  <si>
    <t>сельское хозяйство</t>
  </si>
  <si>
    <t>Маркетплейс</t>
  </si>
  <si>
    <t>Купонная доходность облигации при текущем курсе</t>
  </si>
  <si>
    <t>Обслуживание, замена лифтов</t>
  </si>
  <si>
    <t>Мясокомбинат</t>
  </si>
  <si>
    <t>Производство орехов, сухофруктов</t>
  </si>
  <si>
    <t>Дистрибьютор семян и удобрений</t>
  </si>
  <si>
    <t>Производство асфальта</t>
  </si>
  <si>
    <t>производство оборудования</t>
  </si>
  <si>
    <t>производства строительных материалов</t>
  </si>
  <si>
    <t>Соотношение долгов к выручке</t>
  </si>
  <si>
    <t>Динамика выручки за последние 3 года</t>
  </si>
  <si>
    <t>ИНН</t>
  </si>
  <si>
    <t>Долги (по отчетности 2022 года)</t>
  </si>
  <si>
    <t>Выручка (по отчетности 2022 года)</t>
  </si>
  <si>
    <t>Количество работников предприятия</t>
  </si>
  <si>
    <t>стабильная</t>
  </si>
  <si>
    <t>растущая</t>
  </si>
  <si>
    <t>отрицательная</t>
  </si>
  <si>
    <t>Рейтинг</t>
  </si>
  <si>
    <t>Энергоника</t>
  </si>
  <si>
    <t>RU000A105492</t>
  </si>
  <si>
    <t>Энергосервисная компания</t>
  </si>
  <si>
    <t>не в рейтинге</t>
  </si>
  <si>
    <t>Реиннольц</t>
  </si>
  <si>
    <t>RU000A105LS2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</si>
</sst>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81D41A"/>
      <name val="Arial"/>
      <family val="2"/>
    </font>
    <font>
      <sz val="10"/>
      <color rgb="FF000000"/>
      <name val="Calibri"/>
      <family val="2"/>
    </font>
  </fonts>
  <fills count="17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8CE"/>
        <bgColor indexed="64"/>
      </patternFill>
    </fill>
    <fill>
      <patternFill patternType="solid">
        <fgColor rgb="FFFFD7D7"/>
        <bgColor indexed="64"/>
      </patternFill>
    </fill>
    <fill>
      <patternFill patternType="solid">
        <fgColor rgb="FFDEE6EF"/>
        <bgColor indexed="64"/>
      </patternFill>
    </fill>
    <fill>
      <patternFill patternType="solid">
        <fgColor rgb="FFDDE8C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1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6" fillId="2" borderId="0" applyBorder="0" applyProtection="0">
      <alignment/>
    </xf>
    <xf numFmtId="0" fontId="6" fillId="2" borderId="0" applyBorder="0" applyProtection="0">
      <alignment/>
    </xf>
    <xf numFmtId="0" fontId="6" fillId="2" borderId="0" applyBorder="0" applyProtection="0">
      <alignment/>
    </xf>
    <xf numFmtId="0" fontId="6" fillId="2" borderId="0" applyBorder="0" applyProtection="0">
      <alignment/>
    </xf>
    <xf numFmtId="0" fontId="6" fillId="2" borderId="0" applyBorder="0" applyProtection="0">
      <alignment/>
    </xf>
    <xf numFmtId="0" fontId="6" fillId="2" borderId="0" applyBorder="0" applyProtection="0">
      <alignment/>
    </xf>
    <xf numFmtId="0" fontId="6" fillId="2" borderId="0" applyBorder="0" applyProtection="0">
      <alignment/>
    </xf>
    <xf numFmtId="0" fontId="6" fillId="2" borderId="0" applyBorder="0" applyProtection="0">
      <alignment/>
    </xf>
    <xf numFmtId="0" fontId="6" fillId="2" borderId="0" applyBorder="0" applyProtection="0">
      <alignment/>
    </xf>
    <xf numFmtId="0" fontId="6" fillId="2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6" fillId="3" borderId="0" applyBorder="0" applyProtection="0">
      <alignment/>
    </xf>
    <xf numFmtId="0" fontId="6" fillId="3" borderId="0" applyBorder="0" applyProtection="0">
      <alignment/>
    </xf>
    <xf numFmtId="0" fontId="6" fillId="3" borderId="0" applyBorder="0" applyProtection="0">
      <alignment/>
    </xf>
    <xf numFmtId="0" fontId="6" fillId="3" borderId="0" applyBorder="0" applyProtection="0">
      <alignment/>
    </xf>
    <xf numFmtId="0" fontId="6" fillId="3" borderId="0" applyBorder="0" applyProtection="0">
      <alignment/>
    </xf>
    <xf numFmtId="0" fontId="6" fillId="3" borderId="0" applyBorder="0" applyProtection="0">
      <alignment/>
    </xf>
    <xf numFmtId="0" fontId="6" fillId="3" borderId="0" applyBorder="0" applyProtection="0">
      <alignment/>
    </xf>
    <xf numFmtId="0" fontId="6" fillId="3" borderId="0" applyBorder="0" applyProtection="0">
      <alignment/>
    </xf>
    <xf numFmtId="0" fontId="6" fillId="3" borderId="0" applyBorder="0" applyProtection="0">
      <alignment/>
    </xf>
    <xf numFmtId="0" fontId="6" fillId="3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0" borderId="0" applyBorder="0" applyProtection="0">
      <alignment/>
    </xf>
    <xf numFmtId="0" fontId="7" fillId="4" borderId="0" applyBorder="0" applyProtection="0">
      <alignment/>
    </xf>
    <xf numFmtId="0" fontId="7" fillId="4" borderId="0" applyBorder="0" applyProtection="0">
      <alignment/>
    </xf>
    <xf numFmtId="0" fontId="7" fillId="4" borderId="0" applyBorder="0" applyProtection="0">
      <alignment/>
    </xf>
    <xf numFmtId="0" fontId="7" fillId="4" borderId="0" applyBorder="0" applyProtection="0">
      <alignment/>
    </xf>
    <xf numFmtId="0" fontId="7" fillId="4" borderId="0" applyBorder="0" applyProtection="0">
      <alignment/>
    </xf>
    <xf numFmtId="0" fontId="7" fillId="4" borderId="0" applyBorder="0" applyProtection="0">
      <alignment/>
    </xf>
    <xf numFmtId="0" fontId="7" fillId="4" borderId="0" applyBorder="0" applyProtection="0">
      <alignment/>
    </xf>
    <xf numFmtId="0" fontId="7" fillId="4" borderId="0" applyBorder="0" applyProtection="0">
      <alignment/>
    </xf>
    <xf numFmtId="0" fontId="7" fillId="4" borderId="0" applyBorder="0" applyProtection="0">
      <alignment/>
    </xf>
    <xf numFmtId="0" fontId="7" fillId="4" borderId="0" applyBorder="0" applyProtection="0">
      <alignment/>
    </xf>
    <xf numFmtId="0" fontId="8" fillId="5" borderId="0" applyBorder="0" applyProtection="0">
      <alignment/>
    </xf>
    <xf numFmtId="0" fontId="8" fillId="5" borderId="0" applyBorder="0" applyProtection="0">
      <alignment/>
    </xf>
    <xf numFmtId="0" fontId="8" fillId="5" borderId="0" applyBorder="0" applyProtection="0">
      <alignment/>
    </xf>
    <xf numFmtId="0" fontId="8" fillId="5" borderId="0" applyBorder="0" applyProtection="0">
      <alignment/>
    </xf>
    <xf numFmtId="0" fontId="8" fillId="5" borderId="0" applyBorder="0" applyProtection="0">
      <alignment/>
    </xf>
    <xf numFmtId="0" fontId="8" fillId="5" borderId="0" applyBorder="0" applyProtection="0">
      <alignment/>
    </xf>
    <xf numFmtId="0" fontId="8" fillId="5" borderId="0" applyBorder="0" applyProtection="0">
      <alignment/>
    </xf>
    <xf numFmtId="0" fontId="8" fillId="5" borderId="0" applyBorder="0" applyProtection="0">
      <alignment/>
    </xf>
    <xf numFmtId="0" fontId="8" fillId="5" borderId="0" applyBorder="0" applyProtection="0">
      <alignment/>
    </xf>
    <xf numFmtId="0" fontId="8" fillId="5" borderId="0" applyBorder="0" applyProtection="0">
      <alignment/>
    </xf>
    <xf numFmtId="0" fontId="9" fillId="6" borderId="0" applyBorder="0" applyProtection="0">
      <alignment/>
    </xf>
    <xf numFmtId="0" fontId="9" fillId="6" borderId="0" applyBorder="0" applyProtection="0">
      <alignment/>
    </xf>
    <xf numFmtId="0" fontId="9" fillId="6" borderId="0" applyBorder="0" applyProtection="0">
      <alignment/>
    </xf>
    <xf numFmtId="0" fontId="9" fillId="6" borderId="0" applyBorder="0" applyProtection="0">
      <alignment/>
    </xf>
    <xf numFmtId="0" fontId="9" fillId="6" borderId="0" applyBorder="0" applyProtection="0">
      <alignment/>
    </xf>
    <xf numFmtId="0" fontId="9" fillId="6" borderId="0" applyBorder="0" applyProtection="0">
      <alignment/>
    </xf>
    <xf numFmtId="0" fontId="9" fillId="6" borderId="0" applyBorder="0" applyProtection="0">
      <alignment/>
    </xf>
    <xf numFmtId="0" fontId="9" fillId="6" borderId="0" applyBorder="0" applyProtection="0">
      <alignment/>
    </xf>
    <xf numFmtId="0" fontId="9" fillId="6" borderId="0" applyBorder="0" applyProtection="0">
      <alignment/>
    </xf>
    <xf numFmtId="0" fontId="9" fillId="6" borderId="0" applyBorder="0" applyProtection="0">
      <alignment/>
    </xf>
    <xf numFmtId="0" fontId="10" fillId="0" borderId="0" applyBorder="0" applyProtection="0">
      <alignment/>
    </xf>
    <xf numFmtId="0" fontId="10" fillId="0" borderId="0" applyBorder="0" applyProtection="0">
      <alignment/>
    </xf>
    <xf numFmtId="0" fontId="10" fillId="0" borderId="0" applyBorder="0" applyProtection="0">
      <alignment/>
    </xf>
    <xf numFmtId="0" fontId="10" fillId="0" borderId="0" applyBorder="0" applyProtection="0">
      <alignment/>
    </xf>
    <xf numFmtId="0" fontId="10" fillId="0" borderId="0" applyBorder="0" applyProtection="0">
      <alignment/>
    </xf>
    <xf numFmtId="0" fontId="10" fillId="0" borderId="0" applyBorder="0" applyProtection="0">
      <alignment/>
    </xf>
    <xf numFmtId="0" fontId="10" fillId="0" borderId="0" applyBorder="0" applyProtection="0">
      <alignment/>
    </xf>
    <xf numFmtId="0" fontId="10" fillId="0" borderId="0" applyBorder="0" applyProtection="0">
      <alignment/>
    </xf>
    <xf numFmtId="0" fontId="10" fillId="0" borderId="0" applyBorder="0" applyProtection="0">
      <alignment/>
    </xf>
    <xf numFmtId="0" fontId="10" fillId="0" borderId="0" applyBorder="0" applyProtection="0">
      <alignment/>
    </xf>
    <xf numFmtId="0" fontId="11" fillId="7" borderId="0" applyBorder="0" applyProtection="0">
      <alignment/>
    </xf>
    <xf numFmtId="0" fontId="11" fillId="7" borderId="0" applyBorder="0" applyProtection="0">
      <alignment/>
    </xf>
    <xf numFmtId="0" fontId="11" fillId="7" borderId="0" applyBorder="0" applyProtection="0">
      <alignment/>
    </xf>
    <xf numFmtId="0" fontId="11" fillId="7" borderId="0" applyBorder="0" applyProtection="0">
      <alignment/>
    </xf>
    <xf numFmtId="0" fontId="11" fillId="7" borderId="0" applyBorder="0" applyProtection="0">
      <alignment/>
    </xf>
    <xf numFmtId="0" fontId="11" fillId="7" borderId="0" applyBorder="0" applyProtection="0">
      <alignment/>
    </xf>
    <xf numFmtId="0" fontId="11" fillId="7" borderId="0" applyBorder="0" applyProtection="0">
      <alignment/>
    </xf>
    <xf numFmtId="0" fontId="11" fillId="7" borderId="0" applyBorder="0" applyProtection="0">
      <alignment/>
    </xf>
    <xf numFmtId="0" fontId="11" fillId="7" borderId="0" applyBorder="0" applyProtection="0">
      <alignment/>
    </xf>
    <xf numFmtId="0" fontId="11" fillId="7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2" fillId="0" borderId="0" applyBorder="0" applyProtection="0">
      <alignment/>
    </xf>
    <xf numFmtId="0" fontId="13" fillId="0" borderId="0" applyBorder="0" applyProtection="0">
      <alignment/>
    </xf>
    <xf numFmtId="0" fontId="13" fillId="0" borderId="0" applyBorder="0" applyProtection="0">
      <alignment/>
    </xf>
    <xf numFmtId="0" fontId="13" fillId="0" borderId="0" applyBorder="0" applyProtection="0">
      <alignment/>
    </xf>
    <xf numFmtId="0" fontId="13" fillId="0" borderId="0" applyBorder="0" applyProtection="0">
      <alignment/>
    </xf>
    <xf numFmtId="0" fontId="13" fillId="0" borderId="0" applyBorder="0" applyProtection="0">
      <alignment/>
    </xf>
    <xf numFmtId="0" fontId="13" fillId="0" borderId="0" applyBorder="0" applyProtection="0">
      <alignment/>
    </xf>
    <xf numFmtId="0" fontId="13" fillId="0" borderId="0" applyBorder="0" applyProtection="0">
      <alignment/>
    </xf>
    <xf numFmtId="0" fontId="13" fillId="0" borderId="0" applyBorder="0" applyProtection="0">
      <alignment/>
    </xf>
    <xf numFmtId="0" fontId="13" fillId="0" borderId="0" applyBorder="0" applyProtection="0">
      <alignment/>
    </xf>
    <xf numFmtId="0" fontId="13" fillId="0" borderId="0" applyBorder="0" applyProtection="0">
      <alignment/>
    </xf>
    <xf numFmtId="0" fontId="14" fillId="0" borderId="0" applyBorder="0" applyProtection="0">
      <alignment/>
    </xf>
    <xf numFmtId="0" fontId="14" fillId="0" borderId="0" applyBorder="0" applyProtection="0">
      <alignment/>
    </xf>
    <xf numFmtId="0" fontId="14" fillId="0" borderId="0" applyBorder="0" applyProtection="0">
      <alignment/>
    </xf>
    <xf numFmtId="0" fontId="14" fillId="0" borderId="0" applyBorder="0" applyProtection="0">
      <alignment/>
    </xf>
    <xf numFmtId="0" fontId="14" fillId="0" borderId="0" applyBorder="0" applyProtection="0">
      <alignment/>
    </xf>
    <xf numFmtId="0" fontId="14" fillId="0" borderId="0" applyBorder="0" applyProtection="0">
      <alignment/>
    </xf>
    <xf numFmtId="0" fontId="14" fillId="0" borderId="0" applyBorder="0" applyProtection="0">
      <alignment/>
    </xf>
    <xf numFmtId="0" fontId="14" fillId="0" borderId="0" applyBorder="0" applyProtection="0">
      <alignment/>
    </xf>
    <xf numFmtId="0" fontId="14" fillId="0" borderId="0" applyBorder="0" applyProtection="0">
      <alignment/>
    </xf>
    <xf numFmtId="0" fontId="14" fillId="0" borderId="0" applyBorder="0" applyProtection="0">
      <alignment/>
    </xf>
    <xf numFmtId="0" fontId="15" fillId="8" borderId="0" applyBorder="0" applyProtection="0">
      <alignment/>
    </xf>
    <xf numFmtId="0" fontId="15" fillId="8" borderId="0" applyBorder="0" applyProtection="0">
      <alignment/>
    </xf>
    <xf numFmtId="0" fontId="15" fillId="8" borderId="0" applyBorder="0" applyProtection="0">
      <alignment/>
    </xf>
    <xf numFmtId="0" fontId="15" fillId="8" borderId="0" applyBorder="0" applyProtection="0">
      <alignment/>
    </xf>
    <xf numFmtId="0" fontId="15" fillId="8" borderId="0" applyBorder="0" applyProtection="0">
      <alignment/>
    </xf>
    <xf numFmtId="0" fontId="15" fillId="8" borderId="0" applyBorder="0" applyProtection="0">
      <alignment/>
    </xf>
    <xf numFmtId="0" fontId="15" fillId="8" borderId="0" applyBorder="0" applyProtection="0">
      <alignment/>
    </xf>
    <xf numFmtId="0" fontId="15" fillId="8" borderId="0" applyBorder="0" applyProtection="0">
      <alignment/>
    </xf>
    <xf numFmtId="0" fontId="15" fillId="8" borderId="0" applyBorder="0" applyProtection="0">
      <alignment/>
    </xf>
    <xf numFmtId="0" fontId="15" fillId="8" borderId="0" applyBorder="0" applyProtection="0">
      <alignment/>
    </xf>
    <xf numFmtId="0" fontId="16" fillId="8" borderId="1" applyProtection="0">
      <alignment/>
    </xf>
    <xf numFmtId="0" fontId="16" fillId="8" borderId="1" applyProtection="0">
      <alignment/>
    </xf>
    <xf numFmtId="0" fontId="16" fillId="8" borderId="1" applyProtection="0">
      <alignment/>
    </xf>
    <xf numFmtId="0" fontId="16" fillId="8" borderId="1" applyProtection="0">
      <alignment/>
    </xf>
    <xf numFmtId="0" fontId="16" fillId="8" borderId="1" applyProtection="0">
      <alignment/>
    </xf>
    <xf numFmtId="0" fontId="16" fillId="8" borderId="1" applyProtection="0">
      <alignment/>
    </xf>
    <xf numFmtId="0" fontId="16" fillId="8" borderId="1" applyProtection="0">
      <alignment/>
    </xf>
    <xf numFmtId="0" fontId="16" fillId="8" borderId="1" applyProtection="0">
      <alignment/>
    </xf>
    <xf numFmtId="0" fontId="16" fillId="8" borderId="1" applyProtection="0">
      <alignment/>
    </xf>
    <xf numFmtId="0" fontId="16" fillId="8" borderId="1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3" fillId="0" borderId="0" applyBorder="0" applyProtection="0">
      <alignment/>
    </xf>
    <xf numFmtId="0" fontId="8" fillId="0" borderId="0" applyBorder="0" applyProtection="0">
      <alignment/>
    </xf>
    <xf numFmtId="0" fontId="8" fillId="0" borderId="0" applyBorder="0" applyProtection="0">
      <alignment/>
    </xf>
    <xf numFmtId="0" fontId="8" fillId="0" borderId="0" applyBorder="0" applyProtection="0">
      <alignment/>
    </xf>
    <xf numFmtId="0" fontId="8" fillId="0" borderId="0" applyBorder="0" applyProtection="0">
      <alignment/>
    </xf>
    <xf numFmtId="0" fontId="8" fillId="0" borderId="0" applyBorder="0" applyProtection="0">
      <alignment/>
    </xf>
    <xf numFmtId="0" fontId="8" fillId="0" borderId="0" applyBorder="0" applyProtection="0">
      <alignment/>
    </xf>
    <xf numFmtId="0" fontId="8" fillId="0" borderId="0" applyBorder="0" applyProtection="0">
      <alignment/>
    </xf>
    <xf numFmtId="0" fontId="8" fillId="0" borderId="0" applyBorder="0" applyProtection="0">
      <alignment/>
    </xf>
    <xf numFmtId="0" fontId="8" fillId="0" borderId="0" applyBorder="0" applyProtection="0">
      <alignment/>
    </xf>
    <xf numFmtId="0" fontId="8" fillId="0" borderId="0" applyBorder="0" applyProtection="0">
      <alignment/>
    </xf>
    <xf numFmtId="0" fontId="6" fillId="9" borderId="0" applyBorder="0" applyProtection="0">
      <alignment/>
    </xf>
    <xf numFmtId="0" fontId="3" fillId="10" borderId="0" applyProtection="0">
      <alignment/>
    </xf>
    <xf numFmtId="0" fontId="3" fillId="11" borderId="0" applyProtection="0">
      <alignment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3" fillId="0" borderId="0" applyBorder="0" applyProtection="0">
      <alignment/>
    </xf>
  </cellStyleXfs>
  <cellXfs count="44">
    <xf numFmtId="0" fontId="0" fillId="0" borderId="0" xfId="0"/>
    <xf numFmtId="0" fontId="4" fillId="0" borderId="0" xfId="20" applyFont="1" applyAlignment="1">
      <alignment horizontal="left" vertical="center"/>
      <protection/>
    </xf>
    <xf numFmtId="0" fontId="3" fillId="0" borderId="0" xfId="20" applyAlignment="1">
      <alignment horizontal="left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 wrapText="1"/>
      <protection/>
    </xf>
    <xf numFmtId="0" fontId="3" fillId="0" borderId="0" xfId="20" applyAlignment="1">
      <alignment horizontal="center" vertical="center" wrapText="1"/>
      <protection/>
    </xf>
    <xf numFmtId="0" fontId="3" fillId="0" borderId="0" xfId="20">
      <alignment/>
      <protection/>
    </xf>
    <xf numFmtId="2" fontId="3" fillId="12" borderId="2" xfId="20" applyNumberFormat="1" applyFill="1" applyBorder="1" applyAlignment="1">
      <alignment horizontal="center" vertical="center"/>
      <protection/>
    </xf>
    <xf numFmtId="2" fontId="3" fillId="0" borderId="2" xfId="20" applyNumberFormat="1" applyBorder="1" applyAlignment="1">
      <alignment horizontal="center" vertical="center"/>
      <protection/>
    </xf>
    <xf numFmtId="10" fontId="3" fillId="0" borderId="2" xfId="20" applyNumberForma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 wrapText="1"/>
      <protection/>
    </xf>
    <xf numFmtId="0" fontId="5" fillId="12" borderId="2" xfId="20" applyFont="1" applyFill="1" applyBorder="1" applyAlignment="1">
      <alignment horizontal="center" vertical="center"/>
      <protection/>
    </xf>
    <xf numFmtId="9" fontId="3" fillId="12" borderId="2" xfId="20" applyNumberFormat="1" applyFill="1" applyBorder="1" applyAlignment="1">
      <alignment horizontal="center" vertical="center"/>
      <protection/>
    </xf>
    <xf numFmtId="9" fontId="3" fillId="0" borderId="2" xfId="20" applyNumberFormat="1" applyBorder="1" applyAlignment="1">
      <alignment horizontal="center" vertical="center"/>
      <protection/>
    </xf>
    <xf numFmtId="2" fontId="0" fillId="13" borderId="3" xfId="0" applyNumberFormat="1" applyFont="1" applyFill="1" applyBorder="1" applyAlignment="1">
      <alignment horizontal="center"/>
    </xf>
    <xf numFmtId="2" fontId="0" fillId="14" borderId="3" xfId="0" applyNumberFormat="1" applyFont="1" applyFill="1" applyBorder="1" applyAlignment="1">
      <alignment horizontal="center"/>
    </xf>
    <xf numFmtId="2" fontId="0" fillId="14" borderId="4" xfId="0" applyNumberFormat="1" applyFont="1" applyFill="1" applyBorder="1" applyAlignment="1">
      <alignment horizontal="center"/>
    </xf>
    <xf numFmtId="0" fontId="7" fillId="0" borderId="2" xfId="20" applyFont="1" applyBorder="1" applyAlignment="1">
      <alignment horizontal="center" vertical="center"/>
      <protection/>
    </xf>
    <xf numFmtId="2" fontId="0" fillId="14" borderId="2" xfId="0" applyNumberFormat="1" applyFont="1" applyFill="1" applyBorder="1" applyAlignment="1">
      <alignment horizontal="center"/>
    </xf>
    <xf numFmtId="2" fontId="0" fillId="13" borderId="2" xfId="0" applyNumberFormat="1" applyFont="1" applyFill="1" applyBorder="1" applyAlignment="1">
      <alignment horizontal="center"/>
    </xf>
    <xf numFmtId="10" fontId="7" fillId="0" borderId="2" xfId="20" applyNumberFormat="1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2" fontId="2" fillId="14" borderId="2" xfId="0" applyNumberFormat="1" applyFont="1" applyFill="1" applyBorder="1" applyAlignment="1">
      <alignment horizontal="center"/>
    </xf>
    <xf numFmtId="4" fontId="7" fillId="0" borderId="2" xfId="20" applyNumberFormat="1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 wrapText="1"/>
      <protection/>
    </xf>
    <xf numFmtId="2" fontId="5" fillId="15" borderId="2" xfId="20" applyNumberFormat="1" applyFont="1" applyFill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 wrapText="1"/>
      <protection/>
    </xf>
    <xf numFmtId="2" fontId="3" fillId="0" borderId="0" xfId="20" applyNumberFormat="1" applyBorder="1" applyAlignment="1">
      <alignment horizontal="center" vertical="center"/>
      <protection/>
    </xf>
    <xf numFmtId="0" fontId="0" fillId="13" borderId="2" xfId="0" applyFont="1" applyFill="1" applyBorder="1" applyAlignment="1">
      <alignment horizontal="center" wrapText="1"/>
    </xf>
    <xf numFmtId="0" fontId="0" fillId="13" borderId="2" xfId="0" applyFill="1" applyBorder="1" applyAlignment="1">
      <alignment horizontal="center" wrapText="1"/>
    </xf>
    <xf numFmtId="0" fontId="0" fillId="13" borderId="2" xfId="0" applyFill="1" applyBorder="1" applyAlignment="1">
      <alignment horizontal="center" vertical="center" wrapText="1"/>
    </xf>
    <xf numFmtId="49" fontId="5" fillId="13" borderId="2" xfId="20" applyNumberFormat="1" applyFont="1" applyFill="1" applyBorder="1" applyAlignment="1">
      <alignment horizontal="center" vertical="center"/>
      <protection/>
    </xf>
    <xf numFmtId="2" fontId="0" fillId="13" borderId="2" xfId="0" applyNumberFormat="1" applyFill="1" applyBorder="1" applyAlignment="1">
      <alignment horizontal="center" vertical="center" wrapText="1"/>
    </xf>
    <xf numFmtId="49" fontId="0" fillId="13" borderId="2" xfId="0" applyNumberFormat="1" applyFill="1" applyBorder="1" applyAlignment="1">
      <alignment horizontal="center" vertical="center" wrapText="1"/>
    </xf>
    <xf numFmtId="0" fontId="3" fillId="0" borderId="2" xfId="20" applyBorder="1" applyAlignment="1">
      <alignment horizontal="center" vertical="center"/>
      <protection/>
    </xf>
    <xf numFmtId="10" fontId="0" fillId="13" borderId="2" xfId="0" applyNumberFormat="1" applyFill="1" applyBorder="1" applyAlignment="1">
      <alignment horizontal="center" vertical="center" wrapText="1"/>
    </xf>
    <xf numFmtId="10" fontId="3" fillId="0" borderId="5" xfId="20" applyNumberFormat="1" applyBorder="1" applyAlignment="1">
      <alignment horizontal="center" vertical="center"/>
      <protection/>
    </xf>
    <xf numFmtId="0" fontId="3" fillId="0" borderId="2" xfId="20" applyBorder="1">
      <alignment/>
      <protection/>
    </xf>
    <xf numFmtId="0" fontId="3" fillId="16" borderId="2" xfId="20" applyFill="1" applyBorder="1" applyAlignment="1">
      <alignment horizontal="center" vertical="center"/>
      <protection/>
    </xf>
    <xf numFmtId="0" fontId="3" fillId="13" borderId="0" xfId="20" applyFill="1">
      <alignment/>
      <protection/>
    </xf>
    <xf numFmtId="0" fontId="3" fillId="0" borderId="6" xfId="20" applyBorder="1">
      <alignment/>
      <protection/>
    </xf>
    <xf numFmtId="0" fontId="3" fillId="0" borderId="2" xfId="20" applyBorder="1" applyAlignment="1">
      <alignment horizontal="center" vertical="center" wrapText="1"/>
      <protection/>
    </xf>
    <xf numFmtId="0" fontId="3" fillId="13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Accent 1 14" xfId="21"/>
    <cellStyle name="Accent 1 15" xfId="22"/>
    <cellStyle name="Accent 1 16" xfId="23"/>
    <cellStyle name="Accent 1 17" xfId="24"/>
    <cellStyle name="Accent 1 18" xfId="25"/>
    <cellStyle name="Accent 1 19" xfId="26"/>
    <cellStyle name="Accent 1 20" xfId="27"/>
    <cellStyle name="Accent 1 21" xfId="28"/>
    <cellStyle name="Accent 1 22" xfId="29"/>
    <cellStyle name="Accent 1 23" xfId="30"/>
    <cellStyle name="Accent 13" xfId="31"/>
    <cellStyle name="Accent 14" xfId="32"/>
    <cellStyle name="Accent 15" xfId="33"/>
    <cellStyle name="Accent 16" xfId="34"/>
    <cellStyle name="Accent 17" xfId="35"/>
    <cellStyle name="Accent 18" xfId="36"/>
    <cellStyle name="Accent 19" xfId="37"/>
    <cellStyle name="Accent 2 15" xfId="38"/>
    <cellStyle name="Accent 2 16" xfId="39"/>
    <cellStyle name="Accent 2 17" xfId="40"/>
    <cellStyle name="Accent 2 18" xfId="41"/>
    <cellStyle name="Accent 2 19" xfId="42"/>
    <cellStyle name="Accent 2 20" xfId="43"/>
    <cellStyle name="Accent 2 21" xfId="44"/>
    <cellStyle name="Accent 2 22" xfId="45"/>
    <cellStyle name="Accent 2 23" xfId="46"/>
    <cellStyle name="Accent 2 24" xfId="47"/>
    <cellStyle name="Accent 20" xfId="48"/>
    <cellStyle name="Accent 21" xfId="49"/>
    <cellStyle name="Accent 22" xfId="50"/>
    <cellStyle name="Accent 3 16" xfId="51"/>
    <cellStyle name="Accent 3 17" xfId="52"/>
    <cellStyle name="Accent 3 18" xfId="53"/>
    <cellStyle name="Accent 3 19" xfId="54"/>
    <cellStyle name="Accent 3 20" xfId="55"/>
    <cellStyle name="Accent 3 21" xfId="56"/>
    <cellStyle name="Accent 3 22" xfId="57"/>
    <cellStyle name="Accent 3 23" xfId="58"/>
    <cellStyle name="Accent 3 24" xfId="59"/>
    <cellStyle name="Accent 3 25" xfId="60"/>
    <cellStyle name="Bad 10" xfId="61"/>
    <cellStyle name="Bad 11" xfId="62"/>
    <cellStyle name="Bad 12" xfId="63"/>
    <cellStyle name="Bad 13" xfId="64"/>
    <cellStyle name="Bad 14" xfId="65"/>
    <cellStyle name="Bad 15" xfId="66"/>
    <cellStyle name="Bad 16" xfId="67"/>
    <cellStyle name="Bad 17" xfId="68"/>
    <cellStyle name="Bad 18" xfId="69"/>
    <cellStyle name="Bad 19" xfId="70"/>
    <cellStyle name="Error 12" xfId="71"/>
    <cellStyle name="Error 13" xfId="72"/>
    <cellStyle name="Error 14" xfId="73"/>
    <cellStyle name="Error 15" xfId="74"/>
    <cellStyle name="Error 16" xfId="75"/>
    <cellStyle name="Error 17" xfId="76"/>
    <cellStyle name="Error 18" xfId="77"/>
    <cellStyle name="Error 19" xfId="78"/>
    <cellStyle name="Error 20" xfId="79"/>
    <cellStyle name="Error 21" xfId="80"/>
    <cellStyle name="Footnote 10" xfId="81"/>
    <cellStyle name="Footnote 11" xfId="82"/>
    <cellStyle name="Footnote 12" xfId="83"/>
    <cellStyle name="Footnote 13" xfId="84"/>
    <cellStyle name="Footnote 14" xfId="85"/>
    <cellStyle name="Footnote 5" xfId="86"/>
    <cellStyle name="Footnote 6" xfId="87"/>
    <cellStyle name="Footnote 7" xfId="88"/>
    <cellStyle name="Footnote 8" xfId="89"/>
    <cellStyle name="Footnote 9" xfId="90"/>
    <cellStyle name="Good 10" xfId="91"/>
    <cellStyle name="Good 11" xfId="92"/>
    <cellStyle name="Good 12" xfId="93"/>
    <cellStyle name="Good 13" xfId="94"/>
    <cellStyle name="Good 14" xfId="95"/>
    <cellStyle name="Good 15" xfId="96"/>
    <cellStyle name="Good 16" xfId="97"/>
    <cellStyle name="Good 17" xfId="98"/>
    <cellStyle name="Good 8" xfId="99"/>
    <cellStyle name="Good 9" xfId="100"/>
    <cellStyle name="Heading 1 1" xfId="101"/>
    <cellStyle name="Heading 1 10" xfId="102"/>
    <cellStyle name="Heading 1 2" xfId="103"/>
    <cellStyle name="Heading 1 3" xfId="104"/>
    <cellStyle name="Heading 1 4" xfId="105"/>
    <cellStyle name="Heading 1 5" xfId="106"/>
    <cellStyle name="Heading 1 6" xfId="107"/>
    <cellStyle name="Heading 1 7" xfId="108"/>
    <cellStyle name="Heading 1 8" xfId="109"/>
    <cellStyle name="Heading 1 9" xfId="110"/>
    <cellStyle name="Heading 2 10" xfId="111"/>
    <cellStyle name="Heading 2 11" xfId="112"/>
    <cellStyle name="Heading 2 2" xfId="113"/>
    <cellStyle name="Heading 2 3" xfId="114"/>
    <cellStyle name="Heading 2 4" xfId="115"/>
    <cellStyle name="Heading 2 5" xfId="116"/>
    <cellStyle name="Heading 2 6" xfId="117"/>
    <cellStyle name="Heading 2 7" xfId="118"/>
    <cellStyle name="Heading 2 8" xfId="119"/>
    <cellStyle name="Heading 2 9" xfId="120"/>
    <cellStyle name="Hyperlink 10" xfId="121"/>
    <cellStyle name="Hyperlink 11" xfId="122"/>
    <cellStyle name="Hyperlink 12" xfId="123"/>
    <cellStyle name="Hyperlink 13" xfId="124"/>
    <cellStyle name="Hyperlink 14" xfId="125"/>
    <cellStyle name="Hyperlink 15" xfId="126"/>
    <cellStyle name="Hyperlink 6" xfId="127"/>
    <cellStyle name="Hyperlink 7" xfId="128"/>
    <cellStyle name="Hyperlink 8" xfId="129"/>
    <cellStyle name="Hyperlink 9" xfId="130"/>
    <cellStyle name="Neutral 10" xfId="131"/>
    <cellStyle name="Neutral 11" xfId="132"/>
    <cellStyle name="Neutral 12" xfId="133"/>
    <cellStyle name="Neutral 13" xfId="134"/>
    <cellStyle name="Neutral 14" xfId="135"/>
    <cellStyle name="Neutral 15" xfId="136"/>
    <cellStyle name="Neutral 16" xfId="137"/>
    <cellStyle name="Neutral 17" xfId="138"/>
    <cellStyle name="Neutral 18" xfId="139"/>
    <cellStyle name="Neutral 9" xfId="140"/>
    <cellStyle name="Note 10" xfId="141"/>
    <cellStyle name="Note 11" xfId="142"/>
    <cellStyle name="Note 12" xfId="143"/>
    <cellStyle name="Note 13" xfId="144"/>
    <cellStyle name="Note 4" xfId="145"/>
    <cellStyle name="Note 5" xfId="146"/>
    <cellStyle name="Note 6" xfId="147"/>
    <cellStyle name="Note 7" xfId="148"/>
    <cellStyle name="Note 8" xfId="149"/>
    <cellStyle name="Note 9" xfId="150"/>
    <cellStyle name="Status 10" xfId="151"/>
    <cellStyle name="Status 11" xfId="152"/>
    <cellStyle name="Status 12" xfId="153"/>
    <cellStyle name="Status 13" xfId="154"/>
    <cellStyle name="Status 14" xfId="155"/>
    <cellStyle name="Status 15" xfId="156"/>
    <cellStyle name="Status 16" xfId="157"/>
    <cellStyle name="Status 7" xfId="158"/>
    <cellStyle name="Status 8" xfId="159"/>
    <cellStyle name="Status 9" xfId="160"/>
    <cellStyle name="Text 10" xfId="161"/>
    <cellStyle name="Text 11" xfId="162"/>
    <cellStyle name="Text 12" xfId="163"/>
    <cellStyle name="Text 3" xfId="164"/>
    <cellStyle name="Text 4" xfId="165"/>
    <cellStyle name="Text 5" xfId="166"/>
    <cellStyle name="Text 6" xfId="167"/>
    <cellStyle name="Text 7" xfId="168"/>
    <cellStyle name="Text 8" xfId="169"/>
    <cellStyle name="Text 9" xfId="170"/>
    <cellStyle name="Warning 11" xfId="171"/>
    <cellStyle name="Warning 12" xfId="172"/>
    <cellStyle name="Warning 13" xfId="173"/>
    <cellStyle name="Warning 14" xfId="174"/>
    <cellStyle name="Warning 15" xfId="175"/>
    <cellStyle name="Warning 16" xfId="176"/>
    <cellStyle name="Warning 17" xfId="177"/>
    <cellStyle name="Warning 18" xfId="178"/>
    <cellStyle name="Warning 19" xfId="179"/>
    <cellStyle name="Warning 20" xfId="180"/>
    <cellStyle name="Без имени1" xfId="181"/>
    <cellStyle name="Без имени2" xfId="182"/>
    <cellStyle name="Без имени3" xfId="183"/>
    <cellStyle name="Без имени4" xfId="184"/>
    <cellStyle name="Без имени5" xfId="185"/>
    <cellStyle name="Без имени6" xfId="186"/>
  </cellStyles>
  <dxfs count="65">
    <dxf>
      <fill>
        <patternFill>
          <bgColor rgb="FFFF0000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799979984760284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7999799847602844"/>
        </patternFill>
      </fill>
    </dxf>
    <dxf>
      <fill>
        <patternFill>
          <bgColor rgb="FFFF00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799979984760284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7999799847602844"/>
        </patternFill>
      </fill>
    </dxf>
    <dxf>
      <fill>
        <patternFill>
          <bgColor rgb="FFFF0000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Диаграмма распределения активов в портфеле факт</a:t>
            </a:r>
          </a:p>
        </c:rich>
      </c:tx>
      <c:layout/>
      <c:spPr>
        <a:noFill/>
        <a:ln>
          <a:noFill/>
        </a:ln>
      </c:spPr>
    </c:title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'Высокодоходные облигации'!$D$8:$D$17</c:f>
              <c:strCache>
                <c:ptCount val="1"/>
                <c:pt idx="0">
                  <c:v>УрожайБО03 КИФА Мосрегионлифт СПМК АГТК  НИКА ФЭСАгро Aсфальтобетонный завод  №1 НПП Моторные технологии Электрощитстройсистема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672A8"/>
              </a:solidFill>
              <a:ln>
                <a:noFill/>
              </a:ln>
            </c:spPr>
          </c:dPt>
          <c:dPt>
            <c:idx val="1"/>
            <c:spPr>
              <a:solidFill>
                <a:srgbClr val="AB4744"/>
              </a:solidFill>
              <a:ln>
                <a:noFill/>
              </a:ln>
            </c:spPr>
          </c:dPt>
          <c:dPt>
            <c:idx val="2"/>
            <c:spPr>
              <a:solidFill>
                <a:srgbClr val="8AA64F"/>
              </a:solidFill>
              <a:ln>
                <a:noFill/>
              </a:ln>
            </c:spPr>
          </c:dPt>
          <c:dPt>
            <c:idx val="3"/>
            <c:spPr>
              <a:solidFill>
                <a:srgbClr val="725990"/>
              </a:solidFill>
              <a:ln>
                <a:noFill/>
              </a:ln>
            </c:spPr>
          </c:dPt>
          <c:dPt>
            <c:idx val="4"/>
            <c:spPr>
              <a:solidFill>
                <a:srgbClr val="4299B0"/>
              </a:solidFill>
              <a:ln>
                <a:noFill/>
              </a:ln>
            </c:spPr>
          </c:dPt>
          <c:dPt>
            <c:idx val="5"/>
            <c:spPr>
              <a:solidFill>
                <a:srgbClr val="DC853E"/>
              </a:solidFill>
              <a:ln>
                <a:noFill/>
              </a:ln>
            </c:spPr>
          </c:dPt>
          <c:dPt>
            <c:idx val="6"/>
            <c:spPr>
              <a:solidFill>
                <a:srgbClr val="93A9CE"/>
              </a:solidFill>
              <a:ln>
                <a:noFill/>
              </a:ln>
            </c:spPr>
          </c:dPt>
          <c:dPt>
            <c:idx val="7"/>
            <c:spPr>
              <a:solidFill>
                <a:srgbClr val="D09493"/>
              </a:solidFill>
              <a:ln>
                <a:noFill/>
              </a:ln>
            </c:spPr>
          </c:dPt>
          <c:dPt>
            <c:idx val="8"/>
            <c:spPr>
              <a:solidFill>
                <a:srgbClr val="B8CD97"/>
              </a:solidFill>
              <a:ln>
                <a:noFill/>
              </a:ln>
            </c:spPr>
          </c:dPt>
          <c:dPt>
            <c:idx val="9"/>
            <c:spPr>
              <a:solidFill>
                <a:srgbClr val="A99BBD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'Высокодоходные облигации'!$D$8:$D$17</c:f>
              <c:strCache/>
            </c:strRef>
          </c:cat>
          <c:val>
            <c:numRef>
              <c:f>'Высокодоходные облигации'!$Q$8:$Q$17</c:f>
              <c:numCache/>
            </c:numRef>
          </c:val>
        </c:ser>
      </c:pie3DChart>
    </c:plotArea>
    <c:floor>
      <c:spPr>
        <a:solidFill>
          <a:srgbClr val="D9D9D9"/>
        </a:solidFill>
        <a:ln>
          <a:noFill/>
        </a:ln>
      </c:spPr>
      <c:thickness val="0"/>
    </c:floor>
    <c:sideWall>
      <c:spPr>
        <a:solidFill>
          <a:srgbClr val="D9D9D9"/>
        </a:solidFill>
        <a:ln>
          <a:noFill/>
        </a:ln>
      </c:spPr>
      <c:thickness val="0"/>
    </c:sideWall>
    <c:backWall>
      <c:spPr>
        <a:solidFill>
          <a:srgbClr val="D9D9D9"/>
        </a:solidFill>
        <a:ln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>
      <a:noFill/>
    </a:ln>
  </c:spPr>
  <c:lang xmlns:c="http://schemas.openxmlformats.org/drawingml/2006/chart" val="ru-RU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Диаграмма распределения активов План</a:t>
            </a:r>
          </a:p>
        </c:rich>
      </c:tx>
      <c:layout/>
      <c:spPr>
        <a:noFill/>
        <a:ln>
          <a:noFill/>
        </a:ln>
      </c:spPr>
    </c:title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'Высокодоходные облигации'!$D$8:$D$17</c:f>
              <c:strCache>
                <c:ptCount val="1"/>
                <c:pt idx="0">
                  <c:v>УрожайБО03 КИФА Мосрегионлифт СПМК АГТК  НИКА ФЭСАгро Aсфальтобетонный завод  №1 НПП Моторные технологии Электрощитстройсистема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672A8"/>
              </a:solidFill>
              <a:ln>
                <a:noFill/>
              </a:ln>
            </c:spPr>
          </c:dPt>
          <c:dPt>
            <c:idx val="1"/>
            <c:spPr>
              <a:solidFill>
                <a:srgbClr val="AB4744"/>
              </a:solidFill>
              <a:ln>
                <a:noFill/>
              </a:ln>
            </c:spPr>
          </c:dPt>
          <c:dPt>
            <c:idx val="2"/>
            <c:spPr>
              <a:solidFill>
                <a:srgbClr val="8AA64F"/>
              </a:solidFill>
              <a:ln>
                <a:noFill/>
              </a:ln>
            </c:spPr>
          </c:dPt>
          <c:dPt>
            <c:idx val="3"/>
            <c:spPr>
              <a:solidFill>
                <a:srgbClr val="725990"/>
              </a:solidFill>
              <a:ln>
                <a:noFill/>
              </a:ln>
            </c:spPr>
          </c:dPt>
          <c:dPt>
            <c:idx val="4"/>
            <c:spPr>
              <a:solidFill>
                <a:srgbClr val="4299B0"/>
              </a:solidFill>
              <a:ln>
                <a:noFill/>
              </a:ln>
            </c:spPr>
          </c:dPt>
          <c:dPt>
            <c:idx val="5"/>
            <c:spPr>
              <a:solidFill>
                <a:srgbClr val="DC853E"/>
              </a:solidFill>
              <a:ln>
                <a:noFill/>
              </a:ln>
            </c:spPr>
          </c:dPt>
          <c:dPt>
            <c:idx val="6"/>
            <c:spPr>
              <a:solidFill>
                <a:srgbClr val="93A9CE"/>
              </a:solidFill>
              <a:ln>
                <a:noFill/>
              </a:ln>
            </c:spPr>
          </c:dPt>
          <c:dPt>
            <c:idx val="7"/>
            <c:spPr>
              <a:solidFill>
                <a:srgbClr val="D09493"/>
              </a:solidFill>
              <a:ln>
                <a:noFill/>
              </a:ln>
            </c:spPr>
          </c:dPt>
          <c:dPt>
            <c:idx val="8"/>
            <c:spPr>
              <a:solidFill>
                <a:srgbClr val="B8CD97"/>
              </a:solidFill>
              <a:ln>
                <a:noFill/>
              </a:ln>
            </c:spPr>
          </c:dPt>
          <c:dPt>
            <c:idx val="9"/>
            <c:spPr>
              <a:solidFill>
                <a:srgbClr val="A99BBD"/>
              </a:solidFill>
              <a:ln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'Высокодоходные облигации'!$D$8:$D$17</c:f>
              <c:strCache/>
            </c:strRef>
          </c:cat>
          <c:val>
            <c:numRef>
              <c:f>'Высокодоходные облигации'!$P$8:$P$17</c:f>
              <c:numCache/>
            </c:numRef>
          </c:val>
        </c:ser>
      </c:pie3DChart>
    </c:plotArea>
    <c:floor>
      <c:spPr>
        <a:solidFill>
          <a:srgbClr val="D9D9D9"/>
        </a:solidFill>
        <a:ln>
          <a:noFill/>
        </a:ln>
      </c:spPr>
      <c:thickness val="0"/>
    </c:floor>
    <c:sideWall>
      <c:spPr>
        <a:solidFill>
          <a:srgbClr val="D9D9D9"/>
        </a:solidFill>
        <a:ln>
          <a:noFill/>
        </a:ln>
      </c:spPr>
      <c:thickness val="0"/>
    </c:sideWall>
    <c:backWall>
      <c:spPr>
        <a:solidFill>
          <a:srgbClr val="D9D9D9"/>
        </a:solidFill>
        <a:ln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>
      <a:noFill/>
    </a:ln>
  </c:spPr>
  <c:lang xmlns:c="http://schemas.openxmlformats.org/drawingml/2006/chart" val="ru-RU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66675</xdr:colOff>
      <xdr:row>22</xdr:row>
      <xdr:rowOff>190500</xdr:rowOff>
    </xdr:from>
    <xdr:ext cx="5476875" cy="4838700"/>
    <xdr:graphicFrame macro="">
      <xdr:nvGraphicFramePr>
        <xdr:cNvPr id="2" name="Диаграмма 2"/>
        <xdr:cNvGraphicFramePr/>
      </xdr:nvGraphicFramePr>
      <xdr:xfrm>
        <a:off x="14906625" y="6038850"/>
        <a:ext cx="5476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38100</xdr:colOff>
      <xdr:row>23</xdr:row>
      <xdr:rowOff>19050</xdr:rowOff>
    </xdr:from>
    <xdr:ext cx="5457825" cy="4838700"/>
    <xdr:graphicFrame macro="">
      <xdr:nvGraphicFramePr>
        <xdr:cNvPr id="3" name="Диаграмма 3"/>
        <xdr:cNvGraphicFramePr/>
      </xdr:nvGraphicFramePr>
      <xdr:xfrm>
        <a:off x="647700" y="6057900"/>
        <a:ext cx="545782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zoomScale="55" zoomScaleNormal="55" zoomScalePageLayoutView="70" workbookViewId="0" topLeftCell="A1">
      <selection activeCell="G11" sqref="G11"/>
    </sheetView>
  </sheetViews>
  <sheetFormatPr defaultColWidth="9.140625" defaultRowHeight="15"/>
  <cols>
    <col min="1" max="1" width="9.140625" style="6" customWidth="1"/>
    <col min="2" max="2" width="8.57421875" style="6" customWidth="1"/>
    <col min="3" max="3" width="19.140625" style="6" bestFit="1" customWidth="1"/>
    <col min="4" max="4" width="19.28125" style="6" customWidth="1"/>
    <col min="5" max="12" width="18.57421875" style="6" customWidth="1"/>
    <col min="13" max="13" width="17.8515625" style="6" customWidth="1"/>
    <col min="14" max="15" width="13.28125" style="6" customWidth="1"/>
    <col min="16" max="16" width="14.57421875" style="6" customWidth="1"/>
    <col min="17" max="17" width="14.421875" style="6" customWidth="1"/>
    <col min="18" max="18" width="14.57421875" style="6" customWidth="1"/>
    <col min="19" max="19" width="17.57421875" style="6" customWidth="1"/>
    <col min="20" max="20" width="9.28125" style="6" bestFit="1" customWidth="1"/>
    <col min="21" max="21" width="8.57421875" style="6" customWidth="1"/>
    <col min="22" max="23" width="9.28125" style="6" bestFit="1" customWidth="1"/>
    <col min="24" max="24" width="8.57421875" style="6" customWidth="1"/>
    <col min="25" max="26" width="9.28125" style="6" bestFit="1" customWidth="1"/>
    <col min="27" max="27" width="8.57421875" style="6" customWidth="1"/>
    <col min="28" max="28" width="10.00390625" style="6" bestFit="1" customWidth="1"/>
    <col min="29" max="29" width="9.28125" style="6" bestFit="1" customWidth="1"/>
    <col min="30" max="30" width="8.57421875" style="6" customWidth="1"/>
    <col min="31" max="31" width="9.28125" style="6" bestFit="1" customWidth="1"/>
    <col min="32" max="1033" width="8.57421875" style="6" customWidth="1"/>
    <col min="1034" max="16384" width="9.140625" style="6" customWidth="1"/>
  </cols>
  <sheetData>
    <row r="1" spans="1:15" ht="15">
      <c r="A1" s="1" t="s">
        <v>51</v>
      </c>
      <c r="B1" s="1"/>
      <c r="C1" s="1"/>
      <c r="D1" s="1"/>
      <c r="E1" s="3" t="s">
        <v>0</v>
      </c>
      <c r="F1" s="2"/>
      <c r="G1" s="2"/>
      <c r="H1" s="2"/>
      <c r="I1" s="2"/>
      <c r="J1" s="2"/>
      <c r="K1" s="2"/>
      <c r="L1" s="2"/>
      <c r="N1" s="26"/>
      <c r="O1" s="5"/>
    </row>
    <row r="2" spans="1:14" ht="15">
      <c r="A2" s="6" t="s">
        <v>1</v>
      </c>
      <c r="E2" s="7">
        <v>100000</v>
      </c>
      <c r="N2" s="27"/>
    </row>
    <row r="3" spans="1:14" ht="15">
      <c r="A3" s="6" t="s">
        <v>2</v>
      </c>
      <c r="E3" s="8">
        <f>SUM(O8:O17)</f>
        <v>100840</v>
      </c>
      <c r="N3" s="27"/>
    </row>
    <row r="4" spans="1:14" ht="15">
      <c r="A4" s="6" t="s">
        <v>48</v>
      </c>
      <c r="E4" s="8">
        <f>S22</f>
        <v>12347.735999999999</v>
      </c>
      <c r="N4" s="27"/>
    </row>
    <row r="5" spans="1:14" ht="15">
      <c r="A5" s="6" t="s">
        <v>49</v>
      </c>
      <c r="E5" s="8">
        <f>E4/12</f>
        <v>1028.9779999999998</v>
      </c>
      <c r="N5" s="27"/>
    </row>
    <row r="6" spans="1:14" ht="15">
      <c r="A6" s="6" t="s">
        <v>50</v>
      </c>
      <c r="E6" s="36">
        <f>E4/E3</f>
        <v>0.12244879016263387</v>
      </c>
      <c r="N6" s="27"/>
    </row>
    <row r="7" spans="1:31" ht="60">
      <c r="A7" s="34" t="s">
        <v>71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64</v>
      </c>
      <c r="G7" s="10" t="s">
        <v>67</v>
      </c>
      <c r="H7" s="10" t="s">
        <v>65</v>
      </c>
      <c r="I7" s="10" t="s">
        <v>66</v>
      </c>
      <c r="J7" s="10" t="s">
        <v>62</v>
      </c>
      <c r="K7" s="10" t="s">
        <v>63</v>
      </c>
      <c r="L7" s="10" t="s">
        <v>54</v>
      </c>
      <c r="M7" s="10" t="s">
        <v>32</v>
      </c>
      <c r="N7" s="10" t="s">
        <v>7</v>
      </c>
      <c r="O7" s="10" t="s">
        <v>8</v>
      </c>
      <c r="P7" s="10" t="s">
        <v>9</v>
      </c>
      <c r="Q7" s="10" t="s">
        <v>10</v>
      </c>
      <c r="R7" s="10" t="s">
        <v>11</v>
      </c>
      <c r="S7" s="10" t="s">
        <v>33</v>
      </c>
      <c r="T7" s="17" t="s">
        <v>34</v>
      </c>
      <c r="U7" s="17" t="s">
        <v>35</v>
      </c>
      <c r="V7" s="17" t="s">
        <v>36</v>
      </c>
      <c r="W7" s="17" t="s">
        <v>37</v>
      </c>
      <c r="X7" s="17" t="s">
        <v>38</v>
      </c>
      <c r="Y7" s="17" t="s">
        <v>39</v>
      </c>
      <c r="Z7" s="17" t="s">
        <v>40</v>
      </c>
      <c r="AA7" s="17" t="s">
        <v>41</v>
      </c>
      <c r="AB7" s="17" t="s">
        <v>42</v>
      </c>
      <c r="AC7" s="17" t="s">
        <v>43</v>
      </c>
      <c r="AD7" s="17" t="s">
        <v>44</v>
      </c>
      <c r="AE7" s="17" t="s">
        <v>45</v>
      </c>
    </row>
    <row r="8" spans="1:31" ht="15">
      <c r="A8" s="34">
        <v>9</v>
      </c>
      <c r="B8" s="3">
        <v>1</v>
      </c>
      <c r="C8" s="3" t="s">
        <v>52</v>
      </c>
      <c r="D8" s="28" t="s">
        <v>12</v>
      </c>
      <c r="E8" s="29" t="s">
        <v>22</v>
      </c>
      <c r="F8" s="30">
        <v>6414002211</v>
      </c>
      <c r="G8" s="30">
        <v>144</v>
      </c>
      <c r="H8" s="30">
        <f>867302+729051</f>
        <v>1596353</v>
      </c>
      <c r="I8" s="30">
        <v>696380</v>
      </c>
      <c r="J8" s="32">
        <f>H8/I8</f>
        <v>2.2923590568367844</v>
      </c>
      <c r="K8" s="33" t="s">
        <v>68</v>
      </c>
      <c r="L8" s="35">
        <f>S8/O8</f>
        <v>0.1534230769230769</v>
      </c>
      <c r="M8" s="11">
        <v>10</v>
      </c>
      <c r="N8" s="11">
        <v>1040</v>
      </c>
      <c r="O8" s="3">
        <f aca="true" t="shared" si="0" ref="O8:O18">M8*N8</f>
        <v>10400</v>
      </c>
      <c r="P8" s="12">
        <v>0.1</v>
      </c>
      <c r="Q8" s="9">
        <f>O8/$E$3</f>
        <v>0.10313367711225704</v>
      </c>
      <c r="R8" s="9">
        <f aca="true" t="shared" si="1" ref="R8:R18">P8-Q8</f>
        <v>-0.0031336771122570384</v>
      </c>
      <c r="S8" s="25">
        <f>SUM(T8:AE8)</f>
        <v>1595.6</v>
      </c>
      <c r="T8" s="18">
        <f>39.89*M8</f>
        <v>398.9</v>
      </c>
      <c r="U8" s="19"/>
      <c r="V8" s="19"/>
      <c r="W8" s="18">
        <f>39.89*M8</f>
        <v>398.9</v>
      </c>
      <c r="X8" s="19"/>
      <c r="Y8" s="19"/>
      <c r="Z8" s="18">
        <f>39.89*M8</f>
        <v>398.9</v>
      </c>
      <c r="AA8" s="19"/>
      <c r="AB8" s="19"/>
      <c r="AC8" s="19">
        <f>39.89*M8</f>
        <v>398.9</v>
      </c>
      <c r="AD8" s="19"/>
      <c r="AE8" s="19"/>
    </row>
    <row r="9" spans="1:31" ht="15">
      <c r="A9" s="38">
        <v>4</v>
      </c>
      <c r="B9" s="3">
        <v>2</v>
      </c>
      <c r="C9" s="3" t="s">
        <v>53</v>
      </c>
      <c r="D9" s="28" t="s">
        <v>13</v>
      </c>
      <c r="E9" s="29" t="s">
        <v>23</v>
      </c>
      <c r="F9" s="30">
        <v>7720779760</v>
      </c>
      <c r="G9" s="30">
        <v>27</v>
      </c>
      <c r="H9" s="30">
        <f>3996+804790</f>
        <v>808786</v>
      </c>
      <c r="I9" s="30">
        <v>3272630</v>
      </c>
      <c r="J9" s="32">
        <f aca="true" t="shared" si="2" ref="J9:J19">H9/I9</f>
        <v>0.24713640099858525</v>
      </c>
      <c r="K9" s="33" t="s">
        <v>69</v>
      </c>
      <c r="L9" s="35">
        <f aca="true" t="shared" si="3" ref="L9:L19">S9/O9</f>
        <v>0.14311163895486936</v>
      </c>
      <c r="M9" s="11">
        <v>10</v>
      </c>
      <c r="N9" s="11">
        <v>1010.4</v>
      </c>
      <c r="O9" s="3">
        <f t="shared" si="0"/>
        <v>10104</v>
      </c>
      <c r="P9" s="12">
        <v>0.1</v>
      </c>
      <c r="Q9" s="9">
        <f>O9/$E$3</f>
        <v>0.10019833399444665</v>
      </c>
      <c r="R9" s="9">
        <f t="shared" si="1"/>
        <v>-0.000198333994446645</v>
      </c>
      <c r="S9" s="25">
        <f aca="true" t="shared" si="4" ref="S9:S19">SUM(T9:AE9)</f>
        <v>1446</v>
      </c>
      <c r="T9" s="18"/>
      <c r="U9" s="19"/>
      <c r="V9" s="18">
        <f>36.15*M9</f>
        <v>361.5</v>
      </c>
      <c r="W9" s="18"/>
      <c r="X9" s="19"/>
      <c r="Y9" s="18">
        <f>36.15*M9</f>
        <v>361.5</v>
      </c>
      <c r="Z9" s="19"/>
      <c r="AA9" s="19"/>
      <c r="AB9" s="19">
        <f>36.15*M9</f>
        <v>361.5</v>
      </c>
      <c r="AC9" s="19"/>
      <c r="AD9" s="19"/>
      <c r="AE9" s="19">
        <f>36.15*M9</f>
        <v>361.5</v>
      </c>
    </row>
    <row r="10" spans="1:31" ht="30">
      <c r="A10" s="34">
        <v>8</v>
      </c>
      <c r="B10" s="3">
        <v>3</v>
      </c>
      <c r="C10" s="4" t="s">
        <v>55</v>
      </c>
      <c r="D10" s="28" t="s">
        <v>14</v>
      </c>
      <c r="E10" s="29" t="s">
        <v>24</v>
      </c>
      <c r="F10" s="30">
        <v>7705722209</v>
      </c>
      <c r="G10" s="30">
        <v>20</v>
      </c>
      <c r="H10" s="30">
        <f>204613+652101</f>
        <v>856714</v>
      </c>
      <c r="I10" s="30">
        <v>1579240</v>
      </c>
      <c r="J10" s="32">
        <f t="shared" si="2"/>
        <v>0.5424849927813379</v>
      </c>
      <c r="K10" s="33" t="s">
        <v>70</v>
      </c>
      <c r="L10" s="35">
        <f t="shared" si="3"/>
        <v>0.14571179377846688</v>
      </c>
      <c r="M10" s="11">
        <v>10</v>
      </c>
      <c r="N10" s="11">
        <v>1031.9</v>
      </c>
      <c r="O10" s="3">
        <f t="shared" si="0"/>
        <v>10319</v>
      </c>
      <c r="P10" s="12">
        <v>0.1</v>
      </c>
      <c r="Q10" s="9">
        <f>O10/$E$3</f>
        <v>0.10233042443474812</v>
      </c>
      <c r="R10" s="9">
        <f t="shared" si="1"/>
        <v>-0.00233042443474811</v>
      </c>
      <c r="S10" s="25">
        <f t="shared" si="4"/>
        <v>1503.5999999999997</v>
      </c>
      <c r="T10" s="18">
        <f>12.53*$M$10</f>
        <v>125.3</v>
      </c>
      <c r="U10" s="18">
        <f aca="true" t="shared" si="5" ref="U10:AE10">12.53*$M$10</f>
        <v>125.3</v>
      </c>
      <c r="V10" s="18">
        <f t="shared" si="5"/>
        <v>125.3</v>
      </c>
      <c r="W10" s="18">
        <f t="shared" si="5"/>
        <v>125.3</v>
      </c>
      <c r="X10" s="18">
        <f t="shared" si="5"/>
        <v>125.3</v>
      </c>
      <c r="Y10" s="18">
        <f t="shared" si="5"/>
        <v>125.3</v>
      </c>
      <c r="Z10" s="18">
        <f t="shared" si="5"/>
        <v>125.3</v>
      </c>
      <c r="AA10" s="18">
        <f t="shared" si="5"/>
        <v>125.3</v>
      </c>
      <c r="AB10" s="18">
        <f t="shared" si="5"/>
        <v>125.3</v>
      </c>
      <c r="AC10" s="18">
        <f t="shared" si="5"/>
        <v>125.3</v>
      </c>
      <c r="AD10" s="18">
        <f t="shared" si="5"/>
        <v>125.3</v>
      </c>
      <c r="AE10" s="18">
        <f t="shared" si="5"/>
        <v>125.3</v>
      </c>
    </row>
    <row r="11" spans="1:31" ht="15">
      <c r="A11" s="38">
        <v>1</v>
      </c>
      <c r="B11" s="3">
        <v>4</v>
      </c>
      <c r="C11" s="3" t="s">
        <v>56</v>
      </c>
      <c r="D11" s="28" t="s">
        <v>15</v>
      </c>
      <c r="E11" s="29" t="s">
        <v>25</v>
      </c>
      <c r="F11" s="30">
        <v>5042015329</v>
      </c>
      <c r="G11" s="30">
        <v>314</v>
      </c>
      <c r="H11" s="30">
        <f>288884+1002450</f>
        <v>1291334</v>
      </c>
      <c r="I11" s="30">
        <v>3183900</v>
      </c>
      <c r="J11" s="32">
        <f t="shared" si="2"/>
        <v>0.4055824617607337</v>
      </c>
      <c r="K11" s="33" t="s">
        <v>69</v>
      </c>
      <c r="L11" s="35">
        <f t="shared" si="3"/>
        <v>0.14232464929859717</v>
      </c>
      <c r="M11" s="11">
        <v>10</v>
      </c>
      <c r="N11" s="11">
        <v>998</v>
      </c>
      <c r="O11" s="3">
        <f t="shared" si="0"/>
        <v>9980</v>
      </c>
      <c r="P11" s="12">
        <v>0.1</v>
      </c>
      <c r="Q11" s="9">
        <f>O11/$E$3</f>
        <v>0.09896866322887743</v>
      </c>
      <c r="R11" s="9">
        <f t="shared" si="1"/>
        <v>0.0010313367711225763</v>
      </c>
      <c r="S11" s="25">
        <f t="shared" si="4"/>
        <v>1420.3999999999999</v>
      </c>
      <c r="T11" s="18"/>
      <c r="U11" s="19"/>
      <c r="V11" s="18">
        <f>35.51*M11</f>
        <v>355.09999999999997</v>
      </c>
      <c r="W11" s="18"/>
      <c r="X11" s="19"/>
      <c r="Y11" s="18">
        <f>35.51*M11</f>
        <v>355.09999999999997</v>
      </c>
      <c r="Z11" s="19"/>
      <c r="AA11" s="19"/>
      <c r="AB11" s="19">
        <f>35.51*M11</f>
        <v>355.09999999999997</v>
      </c>
      <c r="AC11" s="19"/>
      <c r="AD11" s="19"/>
      <c r="AE11" s="19">
        <f>35.51*M11</f>
        <v>355.09999999999997</v>
      </c>
    </row>
    <row r="12" spans="1:31" ht="15">
      <c r="A12" s="34">
        <v>5</v>
      </c>
      <c r="B12" s="3">
        <v>5</v>
      </c>
      <c r="C12" s="3" t="s">
        <v>56</v>
      </c>
      <c r="D12" s="28" t="s">
        <v>16</v>
      </c>
      <c r="E12" s="29" t="s">
        <v>26</v>
      </c>
      <c r="F12" s="30">
        <v>4100006268</v>
      </c>
      <c r="G12" s="30">
        <v>75</v>
      </c>
      <c r="H12" s="30">
        <f>998350+822379</f>
        <v>1820729</v>
      </c>
      <c r="I12" s="30">
        <v>1049650</v>
      </c>
      <c r="J12" s="32">
        <f t="shared" si="2"/>
        <v>1.7346058209879485</v>
      </c>
      <c r="K12" s="33" t="s">
        <v>69</v>
      </c>
      <c r="L12" s="35">
        <f t="shared" si="3"/>
        <v>0.1452991452991453</v>
      </c>
      <c r="M12" s="11">
        <v>10</v>
      </c>
      <c r="N12" s="11">
        <v>1029.6</v>
      </c>
      <c r="O12" s="3">
        <f t="shared" si="0"/>
        <v>10296</v>
      </c>
      <c r="P12" s="12">
        <v>0.1</v>
      </c>
      <c r="Q12" s="9">
        <f>O12/$E$3</f>
        <v>0.10210234034113447</v>
      </c>
      <c r="R12" s="9">
        <f t="shared" si="1"/>
        <v>-0.002102340341134462</v>
      </c>
      <c r="S12" s="25">
        <f t="shared" si="4"/>
        <v>1496</v>
      </c>
      <c r="T12" s="18">
        <f>37.4*M12</f>
        <v>374</v>
      </c>
      <c r="U12" s="19"/>
      <c r="V12" s="18"/>
      <c r="W12" s="18">
        <f>37.4*M12</f>
        <v>374</v>
      </c>
      <c r="X12" s="19"/>
      <c r="Y12" s="18"/>
      <c r="Z12" s="19">
        <f>37.4*M12</f>
        <v>374</v>
      </c>
      <c r="AA12" s="19"/>
      <c r="AB12" s="19"/>
      <c r="AC12" s="19">
        <f>37.4*M12</f>
        <v>374</v>
      </c>
      <c r="AD12" s="19"/>
      <c r="AE12" s="19"/>
    </row>
    <row r="13" spans="1:31" ht="45">
      <c r="A13" s="34">
        <v>7</v>
      </c>
      <c r="B13" s="3">
        <v>6</v>
      </c>
      <c r="C13" s="4" t="s">
        <v>57</v>
      </c>
      <c r="D13" s="29" t="s">
        <v>17</v>
      </c>
      <c r="E13" s="29" t="s">
        <v>27</v>
      </c>
      <c r="F13" s="30">
        <v>5030085811</v>
      </c>
      <c r="G13" s="30">
        <v>171</v>
      </c>
      <c r="H13" s="30">
        <f>216920+1229930</f>
        <v>1446850</v>
      </c>
      <c r="I13" s="30">
        <v>1826100</v>
      </c>
      <c r="J13" s="32">
        <f t="shared" si="2"/>
        <v>0.7923169596407644</v>
      </c>
      <c r="K13" s="33" t="s">
        <v>68</v>
      </c>
      <c r="L13" s="35">
        <f t="shared" si="3"/>
        <v>0.1494953532527231</v>
      </c>
      <c r="M13" s="11">
        <v>10</v>
      </c>
      <c r="N13" s="11">
        <v>1000.7</v>
      </c>
      <c r="O13" s="3">
        <f t="shared" si="0"/>
        <v>10007</v>
      </c>
      <c r="P13" s="12">
        <v>0.1</v>
      </c>
      <c r="Q13" s="9">
        <f>O13/$E$3</f>
        <v>0.0992364141213804</v>
      </c>
      <c r="R13" s="9">
        <f t="shared" si="1"/>
        <v>0.0007635858786196048</v>
      </c>
      <c r="S13" s="25">
        <f t="shared" si="4"/>
        <v>1496</v>
      </c>
      <c r="T13" s="18">
        <f>37.4*M13</f>
        <v>374</v>
      </c>
      <c r="U13" s="18"/>
      <c r="V13" s="19"/>
      <c r="W13" s="18">
        <f>37.4*M13</f>
        <v>374</v>
      </c>
      <c r="X13" s="19"/>
      <c r="Y13" s="19"/>
      <c r="Z13" s="18">
        <f>37.4*M13</f>
        <v>374</v>
      </c>
      <c r="AA13" s="19"/>
      <c r="AB13" s="19"/>
      <c r="AC13" s="18">
        <f>37.4*M13</f>
        <v>374</v>
      </c>
      <c r="AD13" s="19"/>
      <c r="AE13" s="19"/>
    </row>
    <row r="14" spans="1:31" ht="30">
      <c r="A14" s="38">
        <v>3</v>
      </c>
      <c r="B14" s="3">
        <v>7</v>
      </c>
      <c r="C14" s="4" t="s">
        <v>58</v>
      </c>
      <c r="D14" s="29" t="s">
        <v>18</v>
      </c>
      <c r="E14" s="29" t="s">
        <v>28</v>
      </c>
      <c r="F14" s="30">
        <v>2634807221</v>
      </c>
      <c r="G14" s="30">
        <v>312</v>
      </c>
      <c r="H14" s="30">
        <f>628386+5317910</f>
        <v>5946296</v>
      </c>
      <c r="I14" s="30">
        <v>10842100</v>
      </c>
      <c r="J14" s="32">
        <f t="shared" si="2"/>
        <v>0.5484450429344868</v>
      </c>
      <c r="K14" s="33" t="s">
        <v>69</v>
      </c>
      <c r="L14" s="35">
        <f t="shared" si="3"/>
        <v>0.13748276541264526</v>
      </c>
      <c r="M14" s="11">
        <v>10</v>
      </c>
      <c r="N14" s="11">
        <v>1015.4</v>
      </c>
      <c r="O14" s="3">
        <f t="shared" si="0"/>
        <v>10154</v>
      </c>
      <c r="P14" s="12">
        <v>0.1</v>
      </c>
      <c r="Q14" s="9">
        <f>O14/$E$3</f>
        <v>0.10069416898056327</v>
      </c>
      <c r="R14" s="9">
        <f t="shared" si="1"/>
        <v>-0.0006941689805632645</v>
      </c>
      <c r="S14" s="25">
        <f t="shared" si="4"/>
        <v>1396</v>
      </c>
      <c r="T14" s="18"/>
      <c r="U14" s="18">
        <f>34.9*M14</f>
        <v>349</v>
      </c>
      <c r="V14" s="19"/>
      <c r="W14" s="18"/>
      <c r="X14" s="18">
        <f>34.9*M14</f>
        <v>349</v>
      </c>
      <c r="Y14" s="19"/>
      <c r="Z14" s="18"/>
      <c r="AA14" s="18">
        <f>34.9*M14</f>
        <v>349</v>
      </c>
      <c r="AB14" s="19"/>
      <c r="AC14" s="18"/>
      <c r="AD14" s="18">
        <f>34.9*M14</f>
        <v>349</v>
      </c>
      <c r="AE14" s="19"/>
    </row>
    <row r="15" spans="1:31" ht="30">
      <c r="A15" s="34">
        <v>6</v>
      </c>
      <c r="B15" s="3">
        <v>8</v>
      </c>
      <c r="C15" s="4" t="s">
        <v>59</v>
      </c>
      <c r="D15" s="29" t="s">
        <v>19</v>
      </c>
      <c r="E15" s="29" t="s">
        <v>29</v>
      </c>
      <c r="F15" s="30">
        <v>7804016807</v>
      </c>
      <c r="G15" s="30">
        <v>337</v>
      </c>
      <c r="H15" s="30">
        <f>2332310+4223720</f>
        <v>6556030</v>
      </c>
      <c r="I15" s="30">
        <v>6206350</v>
      </c>
      <c r="J15" s="32">
        <f t="shared" si="2"/>
        <v>1.0563422945853844</v>
      </c>
      <c r="K15" s="33" t="s">
        <v>69</v>
      </c>
      <c r="L15" s="35">
        <f t="shared" si="3"/>
        <v>0.13712</v>
      </c>
      <c r="M15" s="11">
        <v>10</v>
      </c>
      <c r="N15" s="11">
        <v>1000</v>
      </c>
      <c r="O15" s="3">
        <f t="shared" si="0"/>
        <v>10000</v>
      </c>
      <c r="P15" s="12">
        <v>0.1</v>
      </c>
      <c r="Q15" s="9">
        <f>O15/$E$3</f>
        <v>0.09916699722332407</v>
      </c>
      <c r="R15" s="9">
        <f t="shared" si="1"/>
        <v>0.0008330027766759313</v>
      </c>
      <c r="S15" s="25">
        <f t="shared" si="4"/>
        <v>1371.2</v>
      </c>
      <c r="T15" s="18">
        <f>34.28*M15</f>
        <v>342.8</v>
      </c>
      <c r="U15" s="18"/>
      <c r="V15" s="19"/>
      <c r="W15" s="18">
        <f>34.28*M15</f>
        <v>342.8</v>
      </c>
      <c r="X15" s="18"/>
      <c r="Y15" s="19"/>
      <c r="Z15" s="18">
        <f>34.28*M15</f>
        <v>342.8</v>
      </c>
      <c r="AA15" s="18"/>
      <c r="AB15" s="19"/>
      <c r="AC15" s="18">
        <f>34.28*M15</f>
        <v>342.8</v>
      </c>
      <c r="AD15" s="18"/>
      <c r="AE15" s="19"/>
    </row>
    <row r="16" spans="1:31" ht="30">
      <c r="A16" s="34">
        <v>10</v>
      </c>
      <c r="B16" s="3">
        <v>9</v>
      </c>
      <c r="C16" s="4" t="s">
        <v>60</v>
      </c>
      <c r="D16" s="29" t="s">
        <v>20</v>
      </c>
      <c r="E16" s="29" t="s">
        <v>30</v>
      </c>
      <c r="F16" s="30">
        <v>5835115642</v>
      </c>
      <c r="G16" s="30">
        <v>139</v>
      </c>
      <c r="H16" s="30">
        <f>116236+223781</f>
        <v>340017</v>
      </c>
      <c r="I16" s="30">
        <v>452668</v>
      </c>
      <c r="J16" s="32">
        <f t="shared" si="2"/>
        <v>0.7511399082771479</v>
      </c>
      <c r="K16" s="33" t="s">
        <v>68</v>
      </c>
      <c r="L16" s="35">
        <f t="shared" si="3"/>
        <v>0.12204166666666666</v>
      </c>
      <c r="M16" s="11">
        <v>10</v>
      </c>
      <c r="N16" s="11">
        <v>960</v>
      </c>
      <c r="O16" s="3">
        <f t="shared" si="0"/>
        <v>9600</v>
      </c>
      <c r="P16" s="12">
        <v>0.1</v>
      </c>
      <c r="Q16" s="9">
        <f>O16/$E$3</f>
        <v>0.09520031733439112</v>
      </c>
      <c r="R16" s="9">
        <f t="shared" si="1"/>
        <v>0.004799682665608887</v>
      </c>
      <c r="S16" s="25">
        <f t="shared" si="4"/>
        <v>1171.6</v>
      </c>
      <c r="T16" s="18">
        <f>29.29*M16</f>
        <v>292.9</v>
      </c>
      <c r="U16" s="18"/>
      <c r="V16" s="19"/>
      <c r="W16" s="18">
        <f>29.29*M16</f>
        <v>292.9</v>
      </c>
      <c r="X16" s="18"/>
      <c r="Y16" s="19"/>
      <c r="Z16" s="18">
        <f>29.29*M16</f>
        <v>292.9</v>
      </c>
      <c r="AA16" s="18"/>
      <c r="AB16" s="19"/>
      <c r="AC16" s="18">
        <f>29.29*M16</f>
        <v>292.9</v>
      </c>
      <c r="AD16" s="18"/>
      <c r="AE16" s="19"/>
    </row>
    <row r="17" spans="1:31" ht="45">
      <c r="A17" s="38">
        <v>2</v>
      </c>
      <c r="B17" s="3">
        <v>10</v>
      </c>
      <c r="C17" s="4" t="s">
        <v>61</v>
      </c>
      <c r="D17" s="29" t="s">
        <v>21</v>
      </c>
      <c r="E17" s="29" t="s">
        <v>31</v>
      </c>
      <c r="F17" s="30">
        <v>6313553082</v>
      </c>
      <c r="G17" s="30">
        <v>123</v>
      </c>
      <c r="H17" s="30">
        <f>632298+1321850</f>
        <v>1954148</v>
      </c>
      <c r="I17" s="30">
        <f>7292280</f>
        <v>7292280</v>
      </c>
      <c r="J17" s="32">
        <f t="shared" si="2"/>
        <v>0.26797489948274067</v>
      </c>
      <c r="K17" s="33" t="s">
        <v>69</v>
      </c>
      <c r="L17" s="35">
        <f t="shared" si="3"/>
        <v>0.1298997995991984</v>
      </c>
      <c r="M17" s="11">
        <v>10</v>
      </c>
      <c r="N17" s="11">
        <v>998</v>
      </c>
      <c r="O17" s="3">
        <f t="shared" si="0"/>
        <v>9980</v>
      </c>
      <c r="P17" s="12">
        <v>0.1</v>
      </c>
      <c r="Q17" s="9">
        <f>O17/$E$3</f>
        <v>0.09896866322887743</v>
      </c>
      <c r="R17" s="9">
        <f t="shared" si="1"/>
        <v>0.0010313367711225763</v>
      </c>
      <c r="S17" s="25">
        <f t="shared" si="4"/>
        <v>1296.3999999999999</v>
      </c>
      <c r="T17" s="18"/>
      <c r="U17" s="18"/>
      <c r="V17" s="18">
        <f>32.41*M17</f>
        <v>324.09999999999997</v>
      </c>
      <c r="W17" s="18"/>
      <c r="X17" s="18"/>
      <c r="Y17" s="18">
        <f>32.41*M17</f>
        <v>324.09999999999997</v>
      </c>
      <c r="Z17" s="18"/>
      <c r="AA17" s="18"/>
      <c r="AB17" s="18">
        <f>32.41*M17</f>
        <v>324.09999999999997</v>
      </c>
      <c r="AC17" s="18"/>
      <c r="AD17" s="18"/>
      <c r="AE17" s="18">
        <f>32.41*M17</f>
        <v>324.09999999999997</v>
      </c>
    </row>
    <row r="18" spans="1:32" ht="30" hidden="1">
      <c r="A18" s="41" t="s">
        <v>75</v>
      </c>
      <c r="B18" s="3"/>
      <c r="C18" s="4" t="s">
        <v>60</v>
      </c>
      <c r="D18" s="42" t="s">
        <v>76</v>
      </c>
      <c r="E18" s="43" t="s">
        <v>77</v>
      </c>
      <c r="F18" s="30">
        <v>5406697416</v>
      </c>
      <c r="G18" s="30">
        <v>28</v>
      </c>
      <c r="H18" s="30">
        <f>262354+209827</f>
        <v>472181</v>
      </c>
      <c r="I18" s="30">
        <v>253134</v>
      </c>
      <c r="J18" s="32">
        <f t="shared" si="2"/>
        <v>1.8653400965496536</v>
      </c>
      <c r="K18" s="33" t="s">
        <v>68</v>
      </c>
      <c r="L18" s="35" t="e">
        <f t="shared" si="3"/>
        <v>#DIV/0!</v>
      </c>
      <c r="M18" s="11">
        <v>0</v>
      </c>
      <c r="N18" s="11">
        <v>1086.6</v>
      </c>
      <c r="O18" s="3">
        <f t="shared" si="0"/>
        <v>0</v>
      </c>
      <c r="P18" s="12">
        <v>0</v>
      </c>
      <c r="Q18" s="9">
        <f>O18/$E$3</f>
        <v>0</v>
      </c>
      <c r="R18" s="9">
        <f t="shared" si="1"/>
        <v>0</v>
      </c>
      <c r="S18" s="25">
        <f t="shared" si="4"/>
        <v>0</v>
      </c>
      <c r="T18" s="18"/>
      <c r="U18" s="19"/>
      <c r="V18" s="19">
        <f>44.88*$M$18</f>
        <v>0</v>
      </c>
      <c r="W18" s="18"/>
      <c r="X18" s="19"/>
      <c r="Y18" s="19">
        <f>44.88*$M$18</f>
        <v>0</v>
      </c>
      <c r="Z18" s="19"/>
      <c r="AA18" s="19"/>
      <c r="AB18" s="19">
        <f>44.88*$M$18</f>
        <v>0</v>
      </c>
      <c r="AC18" s="19"/>
      <c r="AD18" s="19"/>
      <c r="AE18" s="19">
        <f>44.88*$M$18</f>
        <v>0</v>
      </c>
      <c r="AF18" s="39"/>
    </row>
    <row r="19" spans="1:31" ht="30" hidden="1">
      <c r="A19" s="41" t="s">
        <v>75</v>
      </c>
      <c r="B19" s="3"/>
      <c r="C19" s="4" t="s">
        <v>74</v>
      </c>
      <c r="D19" s="29" t="s">
        <v>72</v>
      </c>
      <c r="E19" s="29" t="s">
        <v>73</v>
      </c>
      <c r="F19" s="30">
        <v>7709938216</v>
      </c>
      <c r="G19" s="30">
        <v>14</v>
      </c>
      <c r="H19" s="30">
        <f>358286+329558</f>
        <v>687844</v>
      </c>
      <c r="I19" s="30">
        <v>250586</v>
      </c>
      <c r="J19" s="32">
        <f t="shared" si="2"/>
        <v>2.744941856288859</v>
      </c>
      <c r="K19" s="33" t="s">
        <v>69</v>
      </c>
      <c r="L19" s="35" t="e">
        <f t="shared" si="3"/>
        <v>#DIV/0!</v>
      </c>
      <c r="M19" s="11">
        <v>0</v>
      </c>
      <c r="N19" s="11">
        <v>999</v>
      </c>
      <c r="O19" s="3">
        <f aca="true" t="shared" si="6" ref="O19">M19*N19</f>
        <v>0</v>
      </c>
      <c r="P19" s="12">
        <v>0</v>
      </c>
      <c r="Q19" s="9">
        <f>O19/$E$3</f>
        <v>0</v>
      </c>
      <c r="R19" s="9">
        <f aca="true" t="shared" si="7" ref="R19">P19-Q19</f>
        <v>0</v>
      </c>
      <c r="S19" s="25">
        <f t="shared" si="4"/>
        <v>0</v>
      </c>
      <c r="T19" s="18"/>
      <c r="U19" s="18"/>
      <c r="V19" s="18">
        <f>32.41*$M$19</f>
        <v>0</v>
      </c>
      <c r="W19" s="18"/>
      <c r="X19" s="18"/>
      <c r="Y19" s="18">
        <f>32.41*$M$19</f>
        <v>0</v>
      </c>
      <c r="Z19" s="18"/>
      <c r="AA19" s="18"/>
      <c r="AB19" s="18">
        <f>32.41*$M$19</f>
        <v>0</v>
      </c>
      <c r="AC19" s="18"/>
      <c r="AD19" s="18"/>
      <c r="AE19" s="18">
        <f>32.41*$M$19</f>
        <v>0</v>
      </c>
    </row>
    <row r="20" spans="1:31" ht="15" hidden="1">
      <c r="A20" s="41"/>
      <c r="B20" s="3"/>
      <c r="C20" s="4"/>
      <c r="D20" s="29"/>
      <c r="E20" s="29"/>
      <c r="F20" s="30"/>
      <c r="G20" s="30"/>
      <c r="H20" s="30"/>
      <c r="I20" s="30"/>
      <c r="J20" s="32"/>
      <c r="K20" s="33"/>
      <c r="L20" s="35"/>
      <c r="M20" s="11"/>
      <c r="N20" s="11"/>
      <c r="O20" s="3"/>
      <c r="P20" s="12"/>
      <c r="Q20" s="9"/>
      <c r="R20" s="9"/>
      <c r="S20" s="25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2:32" s="37" customFormat="1" ht="15">
      <c r="B21" s="3"/>
      <c r="C21" s="3"/>
      <c r="D21" s="3"/>
      <c r="E21" s="3"/>
      <c r="F21" s="3"/>
      <c r="G21" s="3"/>
      <c r="H21" s="3"/>
      <c r="I21" s="3"/>
      <c r="J21" s="32"/>
      <c r="K21" s="31"/>
      <c r="L21" s="3"/>
      <c r="M21" s="3"/>
      <c r="N21" s="3"/>
      <c r="O21" s="3"/>
      <c r="P21" s="13"/>
      <c r="Q21" s="9"/>
      <c r="R21" s="20" t="s">
        <v>46</v>
      </c>
      <c r="S21" s="21">
        <f>SUM(S8:S17)</f>
        <v>14192.8</v>
      </c>
      <c r="T21" s="22">
        <f>SUM(T8:T17)</f>
        <v>1907.8999999999996</v>
      </c>
      <c r="U21" s="22">
        <f aca="true" t="shared" si="8" ref="U21:AE21">SUM(U8:U17)</f>
        <v>474.3</v>
      </c>
      <c r="V21" s="22">
        <f t="shared" si="8"/>
        <v>1166</v>
      </c>
      <c r="W21" s="22">
        <f t="shared" si="8"/>
        <v>1907.8999999999996</v>
      </c>
      <c r="X21" s="22">
        <f t="shared" si="8"/>
        <v>474.3</v>
      </c>
      <c r="Y21" s="22">
        <f t="shared" si="8"/>
        <v>1166</v>
      </c>
      <c r="Z21" s="22">
        <f t="shared" si="8"/>
        <v>1907.8999999999996</v>
      </c>
      <c r="AA21" s="22">
        <f t="shared" si="8"/>
        <v>474.3</v>
      </c>
      <c r="AB21" s="22">
        <f t="shared" si="8"/>
        <v>1166</v>
      </c>
      <c r="AC21" s="22">
        <f t="shared" si="8"/>
        <v>1907.8999999999996</v>
      </c>
      <c r="AD21" s="22">
        <f t="shared" si="8"/>
        <v>474.3</v>
      </c>
      <c r="AE21" s="22">
        <f t="shared" si="8"/>
        <v>1166</v>
      </c>
      <c r="AF21" s="40"/>
    </row>
    <row r="22" spans="1:31" ht="25.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24" t="s">
        <v>47</v>
      </c>
      <c r="S22" s="23">
        <f>S21*0.87</f>
        <v>12347.735999999999</v>
      </c>
      <c r="T22" s="23">
        <f aca="true" t="shared" si="9" ref="T22:AE22">T21*0.87</f>
        <v>1659.8729999999996</v>
      </c>
      <c r="U22" s="23">
        <f t="shared" si="9"/>
        <v>412.641</v>
      </c>
      <c r="V22" s="23">
        <f t="shared" si="9"/>
        <v>1014.42</v>
      </c>
      <c r="W22" s="23">
        <f t="shared" si="9"/>
        <v>1659.8729999999996</v>
      </c>
      <c r="X22" s="23">
        <f t="shared" si="9"/>
        <v>412.641</v>
      </c>
      <c r="Y22" s="23">
        <f t="shared" si="9"/>
        <v>1014.42</v>
      </c>
      <c r="Z22" s="23">
        <f t="shared" si="9"/>
        <v>1659.8729999999996</v>
      </c>
      <c r="AA22" s="23">
        <f t="shared" si="9"/>
        <v>412.641</v>
      </c>
      <c r="AB22" s="23">
        <f t="shared" si="9"/>
        <v>1014.42</v>
      </c>
      <c r="AC22" s="23">
        <f t="shared" si="9"/>
        <v>1659.8729999999996</v>
      </c>
      <c r="AD22" s="23">
        <f t="shared" si="9"/>
        <v>412.641</v>
      </c>
      <c r="AE22" s="23">
        <f t="shared" si="9"/>
        <v>1014.42</v>
      </c>
    </row>
    <row r="23" spans="20:31" ht="15"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20:31" ht="15">
      <c r="T24" s="15"/>
      <c r="U24" s="14"/>
      <c r="V24" s="14"/>
      <c r="W24" s="15"/>
      <c r="X24" s="14"/>
      <c r="Y24" s="14"/>
      <c r="Z24" s="14"/>
      <c r="AA24" s="14"/>
      <c r="AB24" s="14"/>
      <c r="AC24" s="14"/>
      <c r="AD24" s="14"/>
      <c r="AE24" s="14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conditionalFormatting sqref="R8:R20">
    <cfRule type="cellIs" priority="16" dxfId="15" operator="greaterThan">
      <formula>0.01</formula>
    </cfRule>
    <cfRule type="cellIs" priority="17" operator="greaterThan">
      <formula>1</formula>
    </cfRule>
    <cfRule type="cellIs" priority="18" operator="lessThanOrEqual">
      <formula>0</formula>
    </cfRule>
    <cfRule type="cellIs" priority="19" operator="greaterThan">
      <formula>1%</formula>
    </cfRule>
  </conditionalFormatting>
  <conditionalFormatting sqref="K8:K21">
    <cfRule type="cellIs" priority="5" dxfId="0" operator="equal">
      <formula>"Отрицательная"</formula>
    </cfRule>
    <cfRule type="cellIs" priority="14" dxfId="3" operator="equal">
      <formula>"растущая"</formula>
    </cfRule>
    <cfRule type="cellIs" priority="15" dxfId="1" operator="equal">
      <formula>"стабильная"</formula>
    </cfRule>
  </conditionalFormatting>
  <conditionalFormatting sqref="J8:J21">
    <cfRule type="cellIs" priority="11" dxfId="0" operator="greaterThan">
      <formula>3</formula>
    </cfRule>
    <cfRule type="cellIs" priority="12" dxfId="1" operator="between">
      <formula>1</formula>
      <formula>3</formula>
    </cfRule>
    <cfRule type="cellIs" priority="13" dxfId="3" operator="lessThan">
      <formula>1</formula>
    </cfRule>
  </conditionalFormatting>
  <conditionalFormatting sqref="I8:I21">
    <cfRule type="cellIs" priority="8" dxfId="3" operator="greaterThan">
      <formula>1000000</formula>
    </cfRule>
    <cfRule type="cellIs" priority="9" dxfId="1" operator="between">
      <formula>500000</formula>
      <formula>1000000</formula>
    </cfRule>
    <cfRule type="cellIs" priority="10" dxfId="0" operator="lessThanOrEqual">
      <formula>500000</formula>
    </cfRule>
  </conditionalFormatting>
  <conditionalFormatting sqref="G8:G21">
    <cfRule type="cellIs" priority="6" dxfId="3" operator="greaterThan">
      <formula>100</formula>
    </cfRule>
    <cfRule type="cellIs" priority="7" dxfId="1" operator="between">
      <formula>10</formula>
      <formula>100</formula>
    </cfRule>
  </conditionalFormatting>
  <conditionalFormatting sqref="L8:L20">
    <cfRule type="cellIs" priority="3" dxfId="3" operator="greaterThanOrEqual">
      <formula>0.14</formula>
    </cfRule>
    <cfRule type="cellIs" priority="4" dxfId="1" operator="between">
      <formula>0.12</formula>
      <formula>0.14</formula>
    </cfRule>
  </conditionalFormatting>
  <conditionalFormatting sqref="J8:J20">
    <cfRule type="cellIs" priority="1" dxfId="1" operator="between">
      <formula>0.51</formula>
      <formula>1</formula>
    </cfRule>
    <cfRule type="cellIs" priority="2" dxfId="0" operator="greaterThan">
      <formula>1</formula>
    </cfRule>
  </conditionalFormatting>
  <printOptions/>
  <pageMargins left="0.7875" right="0.7875" top="1.05277777777778" bottom="1.05277777777778" header="0.7875" footer="0.7875"/>
  <pageSetup horizontalDpi="600" verticalDpi="600" orientation="landscape" paperSize="9" r:id="rId2"/>
  <headerFooter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</dc:creator>
  <cp:keywords/>
  <dc:description/>
  <cp:lastModifiedBy>Egor</cp:lastModifiedBy>
  <dcterms:created xsi:type="dcterms:W3CDTF">2023-08-24T05:39:39Z</dcterms:created>
  <dcterms:modified xsi:type="dcterms:W3CDTF">2023-08-25T05:42:06Z</dcterms:modified>
  <cp:category/>
  <cp:version/>
  <cp:contentType/>
  <cp:contentStatus/>
</cp:coreProperties>
</file>